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rk\Documents\Equipment\DSC\NEO\"/>
    </mc:Choice>
  </mc:AlternateContent>
  <bookViews>
    <workbookView xWindow="0" yWindow="0" windowWidth="15530" windowHeight="7340" activeTab="5"/>
  </bookViews>
  <sheets>
    <sheet name="Panel and system definition" sheetId="1" r:id="rId1"/>
    <sheet name="Current calculation" sheetId="2" r:id="rId2"/>
    <sheet name="Dealer Price List" sheetId="3" state="hidden" r:id="rId3"/>
    <sheet name="Dropdowns" sheetId="4" state="hidden" r:id="rId4"/>
    <sheet name="Quote Suggested Dealer Price" sheetId="5" r:id="rId5"/>
    <sheet name="End user" sheetId="6" r:id="rId6"/>
  </sheets>
  <definedNames>
    <definedName name="_xlnm._FilterDatabase" localSheetId="5" hidden="1">'End user'!$B$7:$F$72</definedName>
    <definedName name="_xlnm._FilterDatabase" localSheetId="4" hidden="1">'Quote Suggested Dealer Price'!$B$7:$F$72</definedName>
  </definedNames>
  <calcPr calcId="152511"/>
</workbook>
</file>

<file path=xl/calcChain.xml><?xml version="1.0" encoding="utf-8"?>
<calcChain xmlns="http://schemas.openxmlformats.org/spreadsheetml/2006/main">
  <c r="E35" i="5" l="1"/>
  <c r="F16" i="2" s="1"/>
  <c r="D72" i="6" l="1"/>
  <c r="D71" i="6"/>
  <c r="D70" i="6"/>
  <c r="D69" i="6"/>
  <c r="D68" i="6"/>
  <c r="F68" i="6" s="1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F38" i="6" s="1"/>
  <c r="D37" i="6"/>
  <c r="D36" i="6"/>
  <c r="F36" i="6" s="1"/>
  <c r="D35" i="6"/>
  <c r="D34" i="6"/>
  <c r="D33" i="6"/>
  <c r="D32" i="6"/>
  <c r="D31" i="6"/>
  <c r="D30" i="6"/>
  <c r="D29" i="6"/>
  <c r="F29" i="6" s="1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5" i="6"/>
  <c r="E33" i="6"/>
  <c r="E32" i="6"/>
  <c r="E31" i="6"/>
  <c r="E30" i="6"/>
  <c r="E28" i="6"/>
  <c r="E27" i="6"/>
  <c r="E26" i="6"/>
  <c r="E25" i="6"/>
  <c r="E24" i="6"/>
  <c r="E23" i="6"/>
  <c r="E14" i="6"/>
  <c r="B5" i="6"/>
  <c r="B4" i="6"/>
  <c r="B3" i="6"/>
  <c r="B2" i="6"/>
  <c r="F41" i="6" l="1"/>
  <c r="E72" i="6"/>
  <c r="F28" i="6"/>
  <c r="F25" i="6"/>
  <c r="F24" i="6"/>
  <c r="F32" i="6"/>
  <c r="F40" i="6"/>
  <c r="F44" i="6"/>
  <c r="F48" i="6"/>
  <c r="F52" i="6"/>
  <c r="F56" i="6"/>
  <c r="F60" i="6"/>
  <c r="F64" i="6"/>
  <c r="F45" i="6"/>
  <c r="F49" i="6"/>
  <c r="F53" i="6"/>
  <c r="F57" i="6"/>
  <c r="F61" i="6"/>
  <c r="F14" i="6"/>
  <c r="F26" i="6"/>
  <c r="F33" i="6"/>
  <c r="F65" i="6"/>
  <c r="F30" i="6"/>
  <c r="F27" i="6"/>
  <c r="F72" i="6"/>
  <c r="F31" i="6"/>
  <c r="F35" i="6"/>
  <c r="F42" i="6"/>
  <c r="F46" i="6"/>
  <c r="F50" i="6"/>
  <c r="F54" i="6"/>
  <c r="F58" i="6"/>
  <c r="F62" i="6"/>
  <c r="F66" i="6"/>
  <c r="F23" i="6"/>
  <c r="F43" i="6"/>
  <c r="F47" i="6"/>
  <c r="F51" i="6"/>
  <c r="F55" i="6"/>
  <c r="F59" i="6"/>
  <c r="F63" i="6"/>
  <c r="F67" i="6"/>
  <c r="E9" i="6"/>
  <c r="F9" i="6" s="1"/>
  <c r="E11" i="6"/>
  <c r="F11" i="6" s="1"/>
  <c r="E13" i="6"/>
  <c r="F13" i="6" s="1"/>
  <c r="E69" i="6"/>
  <c r="F69" i="6" s="1"/>
  <c r="E71" i="6"/>
  <c r="F71" i="6" s="1"/>
  <c r="E8" i="6"/>
  <c r="F8" i="6" s="1"/>
  <c r="E10" i="6"/>
  <c r="F10" i="6" s="1"/>
  <c r="E12" i="6"/>
  <c r="F12" i="6" s="1"/>
  <c r="E70" i="6"/>
  <c r="F70" i="6" s="1"/>
  <c r="C48" i="1"/>
  <c r="B4" i="5" l="1"/>
  <c r="A4" i="4"/>
  <c r="B3" i="5"/>
  <c r="E9" i="5" l="1"/>
  <c r="E10" i="5"/>
  <c r="E11" i="5"/>
  <c r="A5" i="4"/>
  <c r="A3" i="4"/>
  <c r="A2" i="4"/>
  <c r="B5" i="5" l="1"/>
  <c r="E13" i="5" l="1"/>
  <c r="F13" i="5" s="1"/>
  <c r="E69" i="5"/>
  <c r="E12" i="5"/>
  <c r="E70" i="5"/>
  <c r="E72" i="5"/>
  <c r="E71" i="5"/>
  <c r="E42" i="5"/>
  <c r="F42" i="5" s="1"/>
  <c r="E26" i="5"/>
  <c r="F26" i="5" s="1"/>
  <c r="F68" i="5"/>
  <c r="F38" i="5"/>
  <c r="F36" i="5"/>
  <c r="F35" i="5"/>
  <c r="F29" i="5"/>
  <c r="E14" i="5"/>
  <c r="F14" i="5" s="1"/>
  <c r="E41" i="5"/>
  <c r="F41" i="5" s="1"/>
  <c r="C41" i="1"/>
  <c r="F19" i="2" s="1"/>
  <c r="L13" i="1"/>
  <c r="C44" i="1"/>
  <c r="D19" i="1"/>
  <c r="J20" i="1"/>
  <c r="D25" i="1" l="1"/>
  <c r="C43" i="1" s="1"/>
  <c r="J19" i="1"/>
  <c r="C47" i="1" s="1"/>
  <c r="F21" i="2"/>
  <c r="F20" i="2"/>
  <c r="F18" i="2"/>
  <c r="O7" i="1"/>
  <c r="C45" i="1" s="1"/>
  <c r="O13" i="1"/>
  <c r="J25" i="1" s="1"/>
  <c r="F17" i="2" s="1"/>
  <c r="E39" i="5" s="1"/>
  <c r="F25" i="1"/>
  <c r="F39" i="5" l="1"/>
  <c r="E39" i="6"/>
  <c r="F39" i="6" s="1"/>
  <c r="C46" i="1"/>
  <c r="E23" i="5"/>
  <c r="F23" i="5" s="1"/>
  <c r="E24" i="5"/>
  <c r="F24" i="5" s="1"/>
  <c r="E25" i="5"/>
  <c r="F25" i="5" s="1"/>
  <c r="E27" i="5"/>
  <c r="F27" i="5" s="1"/>
  <c r="E28" i="5"/>
  <c r="F28" i="5" s="1"/>
  <c r="E30" i="5"/>
  <c r="F30" i="5" s="1"/>
  <c r="E31" i="5"/>
  <c r="F31" i="5" s="1"/>
  <c r="E32" i="5"/>
  <c r="F32" i="5" s="1"/>
  <c r="E33" i="5"/>
  <c r="F33" i="5" s="1"/>
  <c r="E40" i="5"/>
  <c r="F40" i="5" s="1"/>
  <c r="E43" i="5"/>
  <c r="F43" i="5" s="1"/>
  <c r="E44" i="5"/>
  <c r="F44" i="5" s="1"/>
  <c r="E45" i="5"/>
  <c r="F45" i="5" s="1"/>
  <c r="E46" i="5"/>
  <c r="F46" i="5" s="1"/>
  <c r="E47" i="5"/>
  <c r="F47" i="5" s="1"/>
  <c r="E48" i="5"/>
  <c r="F48" i="5" s="1"/>
  <c r="E49" i="5"/>
  <c r="F49" i="5" s="1"/>
  <c r="E50" i="5"/>
  <c r="F50" i="5" s="1"/>
  <c r="E51" i="5"/>
  <c r="F51" i="5" s="1"/>
  <c r="E52" i="5"/>
  <c r="F52" i="5" s="1"/>
  <c r="E53" i="5"/>
  <c r="F53" i="5" s="1"/>
  <c r="E54" i="5"/>
  <c r="F54" i="5" s="1"/>
  <c r="E55" i="5"/>
  <c r="F55" i="5" s="1"/>
  <c r="E56" i="5"/>
  <c r="F56" i="5" s="1"/>
  <c r="E57" i="5"/>
  <c r="F57" i="5" s="1"/>
  <c r="E58" i="5"/>
  <c r="F58" i="5" s="1"/>
  <c r="E59" i="5"/>
  <c r="E60" i="5"/>
  <c r="F60" i="5" s="1"/>
  <c r="E61" i="5"/>
  <c r="F61" i="5" s="1"/>
  <c r="E62" i="5"/>
  <c r="F62" i="5" s="1"/>
  <c r="E63" i="5"/>
  <c r="F63" i="5" s="1"/>
  <c r="E64" i="5"/>
  <c r="F64" i="5" s="1"/>
  <c r="E65" i="5"/>
  <c r="F65" i="5" s="1"/>
  <c r="E66" i="5"/>
  <c r="F66" i="5" s="1"/>
  <c r="E67" i="5"/>
  <c r="F67" i="5" s="1"/>
  <c r="F59" i="5" l="1"/>
  <c r="F11" i="5"/>
  <c r="F69" i="5"/>
  <c r="F71" i="5"/>
  <c r="F10" i="5"/>
  <c r="F70" i="5"/>
  <c r="F12" i="5"/>
  <c r="B2" i="5"/>
  <c r="F9" i="5" s="1"/>
  <c r="F72" i="5" l="1"/>
  <c r="E8" i="5"/>
  <c r="D22" i="2"/>
  <c r="G22" i="2" s="1"/>
  <c r="B25" i="1"/>
  <c r="E34" i="5" l="1"/>
  <c r="F34" i="5" s="1"/>
  <c r="E34" i="6"/>
  <c r="F34" i="6" s="1"/>
  <c r="F8" i="5"/>
  <c r="G16" i="2"/>
  <c r="G14" i="2"/>
  <c r="G21" i="2"/>
  <c r="G20" i="2"/>
  <c r="G19" i="2"/>
  <c r="G18" i="2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G6" i="2"/>
  <c r="C35" i="1"/>
  <c r="C34" i="1"/>
  <c r="C33" i="1"/>
  <c r="C31" i="1"/>
  <c r="C32" i="1"/>
  <c r="G17" i="2" l="1"/>
  <c r="C30" i="1"/>
  <c r="C29" i="1" l="1"/>
  <c r="C36" i="1" l="1"/>
  <c r="F13" i="2"/>
  <c r="G13" i="2" s="1"/>
  <c r="I23" i="2" s="1"/>
  <c r="I24" i="2" s="1"/>
  <c r="I25" i="2" s="1"/>
  <c r="F15" i="2" s="1"/>
  <c r="L25" i="1" l="1"/>
  <c r="B1" i="5" l="1"/>
  <c r="E19" i="5" s="1"/>
  <c r="F19" i="5" s="1"/>
  <c r="B1" i="6"/>
  <c r="E16" i="5" l="1"/>
  <c r="F16" i="5" s="1"/>
  <c r="E20" i="5"/>
  <c r="F20" i="5" s="1"/>
  <c r="E18" i="5"/>
  <c r="F18" i="5" s="1"/>
  <c r="E22" i="5"/>
  <c r="F22" i="5" s="1"/>
  <c r="E17" i="5"/>
  <c r="F17" i="5" s="1"/>
  <c r="E21" i="5"/>
  <c r="F21" i="5" s="1"/>
  <c r="E15" i="5"/>
  <c r="F15" i="5" s="1"/>
  <c r="E17" i="6"/>
  <c r="F17" i="6" s="1"/>
  <c r="E20" i="6"/>
  <c r="F20" i="6" s="1"/>
  <c r="E19" i="6"/>
  <c r="F19" i="6" s="1"/>
  <c r="E21" i="6"/>
  <c r="F21" i="6" s="1"/>
  <c r="E16" i="6"/>
  <c r="F16" i="6" s="1"/>
  <c r="E22" i="6"/>
  <c r="F22" i="6" s="1"/>
  <c r="E15" i="6"/>
  <c r="F15" i="6" s="1"/>
  <c r="E18" i="6"/>
  <c r="F18" i="6" s="1"/>
  <c r="G15" i="2"/>
  <c r="G23" i="2" s="1"/>
  <c r="G24" i="2" s="1"/>
  <c r="G25" i="2" s="1"/>
  <c r="E37" i="5" l="1"/>
  <c r="F37" i="5" l="1"/>
  <c r="F74" i="5" s="1"/>
  <c r="H25" i="1"/>
  <c r="E37" i="6" s="1"/>
  <c r="F37" i="6" s="1"/>
  <c r="F74" i="6" s="1"/>
</calcChain>
</file>

<file path=xl/sharedStrings.xml><?xml version="1.0" encoding="utf-8"?>
<sst xmlns="http://schemas.openxmlformats.org/spreadsheetml/2006/main" count="618" uniqueCount="272">
  <si>
    <t>PG9904P</t>
  </si>
  <si>
    <t>PG9934P</t>
  </si>
  <si>
    <t>PG9924</t>
  </si>
  <si>
    <t>PG9984P</t>
  </si>
  <si>
    <t>PG9974P</t>
  </si>
  <si>
    <t>PG9994</t>
  </si>
  <si>
    <t>PG9945</t>
  </si>
  <si>
    <t>PG9975</t>
  </si>
  <si>
    <t>PG9935</t>
  </si>
  <si>
    <t>PG9912</t>
  </si>
  <si>
    <t>PG9926</t>
  </si>
  <si>
    <t>PG9916</t>
  </si>
  <si>
    <t>PG9913</t>
  </si>
  <si>
    <t>PG9905</t>
  </si>
  <si>
    <t>PG9901</t>
  </si>
  <si>
    <t>PG9911</t>
  </si>
  <si>
    <t>PG9985</t>
  </si>
  <si>
    <t>How many partitions will you have?</t>
  </si>
  <si>
    <t>How many hardwired zones are you using?</t>
  </si>
  <si>
    <t>Zone expanders needed</t>
  </si>
  <si>
    <t>Zone count</t>
  </si>
  <si>
    <t xml:space="preserve">You will need a </t>
  </si>
  <si>
    <t>Door/Window contacts and shock sensors</t>
  </si>
  <si>
    <t>Glassbreak</t>
  </si>
  <si>
    <t>Smoke, Smoke/Heat or Co</t>
  </si>
  <si>
    <t>Temperature</t>
  </si>
  <si>
    <t>Flood</t>
  </si>
  <si>
    <t>Wireless Sirens</t>
  </si>
  <si>
    <t>How many Hardwired sirens will you use?</t>
  </si>
  <si>
    <t>HS2LCD</t>
  </si>
  <si>
    <t>HS2LCDP</t>
  </si>
  <si>
    <t>HS2LCDRF9</t>
  </si>
  <si>
    <t>HS2LCDRFP9</t>
  </si>
  <si>
    <t>HS2LCDWF9</t>
  </si>
  <si>
    <t>HS2LCDWFP9</t>
  </si>
  <si>
    <t>HS2LCDWFPV9</t>
  </si>
  <si>
    <t>HS2TCHP</t>
  </si>
  <si>
    <t>HS2TCHPBLK</t>
  </si>
  <si>
    <t>How many user codes you will need</t>
  </si>
  <si>
    <t>Zone</t>
  </si>
  <si>
    <t>Partitions</t>
  </si>
  <si>
    <t>Keypads</t>
  </si>
  <si>
    <t>Zones</t>
  </si>
  <si>
    <t>Panel needed</t>
  </si>
  <si>
    <t>Keys</t>
  </si>
  <si>
    <t>Sirens</t>
  </si>
  <si>
    <t>How many repeaters will you need?</t>
  </si>
  <si>
    <t>Repeaters</t>
  </si>
  <si>
    <t>Wireless Keypads</t>
  </si>
  <si>
    <t>Hardwired Keypads</t>
  </si>
  <si>
    <t>HW Touch Keypads</t>
  </si>
  <si>
    <t xml:space="preserve">Please select the communication path </t>
  </si>
  <si>
    <t>Panel</t>
  </si>
  <si>
    <t>HSM2108</t>
  </si>
  <si>
    <t>HSM2208</t>
  </si>
  <si>
    <t>HSM2300</t>
  </si>
  <si>
    <t>HSM2204</t>
  </si>
  <si>
    <t>HSM2HOST</t>
  </si>
  <si>
    <t>3G2080(R)</t>
  </si>
  <si>
    <t xml:space="preserve">TL280(R) </t>
  </si>
  <si>
    <t xml:space="preserve">TL2803G(R) </t>
  </si>
  <si>
    <t>Current (mA)</t>
  </si>
  <si>
    <t>Quantity</t>
  </si>
  <si>
    <t>Total</t>
  </si>
  <si>
    <t>Alarm.com communicator</t>
  </si>
  <si>
    <t>PG9944</t>
  </si>
  <si>
    <t>mA</t>
  </si>
  <si>
    <t>Power Supplies needed</t>
  </si>
  <si>
    <t>Communication path</t>
  </si>
  <si>
    <t>Amount of zones</t>
  </si>
  <si>
    <t>Model #</t>
  </si>
  <si>
    <t>Description</t>
  </si>
  <si>
    <t>Suggested Dealer Price
($USD)</t>
  </si>
  <si>
    <t>0-103380</t>
  </si>
  <si>
    <t>PGX901/PGX911 INDOOR&amp;OUTDOOR SIREN INDIVIDUAL 3.6V/14.5AH BATTERY/17000169</t>
  </si>
  <si>
    <t>3G2080R-USA</t>
  </si>
  <si>
    <t>PowerSeries NEO HSPA Cellular Alarm Communicator for use with Kantech Entrapass for serial integration.  Compatible with Entrapass V6.02.</t>
  </si>
  <si>
    <t>3G2080-USA</t>
  </si>
  <si>
    <t xml:space="preserve">PowerSeries NEO HSPA Cellular Alarm Communicator </t>
  </si>
  <si>
    <t>3G8080AT</t>
  </si>
  <si>
    <t>PowerSeries NEO HSPA cellular communicator with AT&amp;T SIM and built-in Z-Wave exclusive to Alarm.com services.  Compatible with PowerSeries Neo v1.1 or higher.</t>
  </si>
  <si>
    <t>3G8080IAT</t>
  </si>
  <si>
    <t>PowerSeries NEO HSPA cellular communicator with AT&amp;T SIM,  integrated image sensor module and built-in Z-Wave exclusive to Alarm.com services.  Compatible with PowerSeries Neo v1.1 or higher.</t>
  </si>
  <si>
    <t>HS2016NK</t>
  </si>
  <si>
    <t>NEO HS2016 Control panel in a large cabinet.  No Keypad.</t>
  </si>
  <si>
    <t>HS2016NKCP01</t>
  </si>
  <si>
    <t>NEO HS2016 Control panel with CP01 software in a large cabinet.  No Keypad.</t>
  </si>
  <si>
    <t>HS2016PCB</t>
  </si>
  <si>
    <t>NEO HS2016 Printed circuit board only.  No manuals.</t>
  </si>
  <si>
    <t>HS2016PCBCP01</t>
  </si>
  <si>
    <t>NEO HS2016 Printed circuit board only with CP01 software.  No manuals.</t>
  </si>
  <si>
    <t>HS2032NK</t>
  </si>
  <si>
    <t>NEO HS2032 Control panel in a large cabinet.  No Keypad.</t>
  </si>
  <si>
    <t>HS2032NKCP01</t>
  </si>
  <si>
    <t>NEO HS2032 Control panel with CP01 software in a large cabinet.  No Keypad.</t>
  </si>
  <si>
    <t>HS2032PCB</t>
  </si>
  <si>
    <t>NEO HS2032 Printed circuit board only.  No manuals.</t>
  </si>
  <si>
    <t>HS2032PCBCP01</t>
  </si>
  <si>
    <t>NEO HS2032 Printed circuit board only with CP01 software.  No manuals.</t>
  </si>
  <si>
    <t>HS2064NK</t>
  </si>
  <si>
    <t>NEO HS2064 Control panel in a large cabinet.  No Keypad.</t>
  </si>
  <si>
    <t>HS2064NKCP01</t>
  </si>
  <si>
    <t>NEO HS2064 Control panel with CP01 software in a large cabinet.  No Keypad.</t>
  </si>
  <si>
    <t>HS2064PCB</t>
  </si>
  <si>
    <t>NEO HS2064 Printed circuit board only.  No manuals.</t>
  </si>
  <si>
    <t>HS2064PCBCP01</t>
  </si>
  <si>
    <t>NEO HS2064 Printed circuit board only with CP01 software.  No manuals.</t>
  </si>
  <si>
    <t>HS2128NK</t>
  </si>
  <si>
    <t>NEO HS2128 Control panel in a large cabinet.  No Keypad.</t>
  </si>
  <si>
    <t>HS2128NKCP01</t>
  </si>
  <si>
    <t>NEO HS2128 Control panel with CP01 software in a large cabinet.  No Keypad.</t>
  </si>
  <si>
    <t>HS2128PCB</t>
  </si>
  <si>
    <t>NEO HS2128 Printed circuit board only.  No manuals.</t>
  </si>
  <si>
    <t>HS2128PCBCP01</t>
  </si>
  <si>
    <t>NEO HS2128 Printed circuit board only with CP01 software.  No manuals.</t>
  </si>
  <si>
    <t>HS2ICN</t>
  </si>
  <si>
    <t>NEO ICON Hardwired Keypad.  Compatible with the HS2016, HS2032, HS2064 and HS2128 control panels.</t>
  </si>
  <si>
    <t>HS2ICNENG</t>
  </si>
  <si>
    <t>NEO ICON Hardwired Keypad with English function keys.  Compatible with the HS2016, HS2032, HS2064 and HS2128 control panels.</t>
  </si>
  <si>
    <t>HS2ICNP</t>
  </si>
  <si>
    <t>NEO ICON Hardwired Keypad with Prox Support.  Compatible with the HS2016, HS2032, HS2064 and HS2128 control panels.</t>
  </si>
  <si>
    <t>HS2ICNPENG</t>
  </si>
  <si>
    <t>NEO ICON Hardwired Keypad with English function keys and Prox Support.  Compatible with the HS2016, HS2032, HS2064 and HS2128 control panels.</t>
  </si>
  <si>
    <t>HS2ICNRF9</t>
  </si>
  <si>
    <t>NEO ICON Hardwired Keypad with Built-in PowerG Transceiver.  Compatible with the HS2016, HS2032, HS2064 and HS2128 control panels.</t>
  </si>
  <si>
    <t>HS2ICNRF9ENG</t>
  </si>
  <si>
    <t>NEO ICON Hardwired Keypad with English function keys and Built-in PowerG Transceiver.  Compatible with the HS2016, HS2032, HS2064 and HS2128 control panels.</t>
  </si>
  <si>
    <t>HS2ICNRFP9</t>
  </si>
  <si>
    <t>NEO ICON Hardwired Keypad with Built-in PowerG Transceiver and Prox Support.  Compatible with the HS2016, HS2032, HS2064 and HS2128 control panels.</t>
  </si>
  <si>
    <t>HS2ICNRFP9ENG</t>
  </si>
  <si>
    <t>NEO ICON Hardwired Keypad with English function keys, Built-in PowerG Transceiver and Prox Support.  Compatible with the HS2016, HS2032, HS2064 and HS2128 control panels.</t>
  </si>
  <si>
    <t>NEO Full Message LCD Hardwired Keypad.  Compatible with HS2016, HS2032, HS2064 and HS21218 control panels.</t>
  </si>
  <si>
    <t>HS2LCDENG</t>
  </si>
  <si>
    <t>NEO Full Message LCD Hardwired Keypad with English function keys.  Compatible with HS2016, HS2032, HS2064 and HS21218 control panels.</t>
  </si>
  <si>
    <t>NEO Full Message LCD Hardwired Keypad with Prox Support.  Compatible with HS2016, HS2032, HS2064 and HS21218 control panels.</t>
  </si>
  <si>
    <t>HS2LCDPENG</t>
  </si>
  <si>
    <t>NEO Full Message LCD Hardwired Keypad with English function keys and Prox Support.  Compatible with HS2016, HS2032, HS2064 and HS21218 control panels.</t>
  </si>
  <si>
    <t>NEO Full Message LCD Hardwired Keypad with Built-in PowerG Transceiver.  Compatible with HS2016, HS2032, HS2064 and HS21218 control panels.</t>
  </si>
  <si>
    <t>HS2LCDRF9ENG</t>
  </si>
  <si>
    <t>NEO Full Message LCD Hardwired Keypad with English function keys and Built-in PowerG Transceiver.  Compatible with HS2016, HS2032, HS2064 and HS21218 control panels.</t>
  </si>
  <si>
    <t>NEO Full Message LCD Hardwired Keypad with Built-in PowerG Transceiver and Prox Support.  Compatible with HS2016, HS2032, HS2064 and HS21218 control panels.</t>
  </si>
  <si>
    <t>HS2LCDRFP9ENG</t>
  </si>
  <si>
    <t>NEO Full Message LCD Hardwired Keypad with English function keys, Built-in PowerG Transceiver and Prox Support.  Compatible with HS2016, HS2032, HS2064 and HS21218 control panels.</t>
  </si>
  <si>
    <t>HS2LCDWF9ENG</t>
  </si>
  <si>
    <t>NEO Wireless Full Message LCD PowerG 2-Way Wire-Free Keypad.  Compatible with HS2016, HS2032, HS2064 and HS21218 control panels.</t>
  </si>
  <si>
    <t>HS2LCDWFDMK</t>
  </si>
  <si>
    <t>Deskstand kit for the PowerSeries Neo HS2LCDWF wire-free keypads.  Includes a deskstand and 9V UL transformer.</t>
  </si>
  <si>
    <t>HS2LCDWFP9ENG</t>
  </si>
  <si>
    <t>NEO Wireless Full Message LCD PowerG 2-Way Wire-Free Keypad with Prox Support.  Compatible with HS2016, HS2032, HS2064 and HS21218 control panels.</t>
  </si>
  <si>
    <t>HS2LCDWFPV9ENG</t>
  </si>
  <si>
    <t>NEO Wireless Full Message LCD PowerG 2-Way Wire-Free Keypad with Prox Support and Voice Prompting.  Compatible with HS2016, HS2032, HS2064 and HS21218 control panels.</t>
  </si>
  <si>
    <t>White 7" hardwired touch screen keypad for PowerSeries NEO control panels.</t>
  </si>
  <si>
    <t>Black 7" hardwired touch screen keypad for PowerSeries NEO control panels.</t>
  </si>
  <si>
    <t>HS32-119</t>
  </si>
  <si>
    <t>NEO Control Panel Kit.  Contains one HS2032NK control panel in a PC5003C cabinet, one HS2LCDRF9ENG Full Message LCD Hardwired Keypad with Built-in PowerG Transceiver and an accessory kit containing a BD4-12 12V, 4Ah battery, a standard efficiency transformer, an RJ-31X telephone jack and cord and a SD15WULF indoor siren.</t>
  </si>
  <si>
    <t>HS32-119CP01</t>
  </si>
  <si>
    <t>NEO Control Panel Kit.  Contains one HS2032NK control panel with CP01 software in a PC5003C cabinet, one HS2LCDRF9ENG Full Message LCD Hardwired Keypad with Built-in PowerG Transceiver, and an accessory kit containing a BD4-12 12V, 4Ah battery, a standard efficiency transformer, an RJ-31X telephone jack and cord and a SD15WULF indoor siren.</t>
  </si>
  <si>
    <t>NEO 8-Hardwired Zone Expander Module.  Compatible with HS2016, HS2032, HS2064 and HS2128 control panels.</t>
  </si>
  <si>
    <t>NEO High Current Output Module.  Compatible with HS2016, HS2032, HS2064 and HS2128 control panels.</t>
  </si>
  <si>
    <t>NEO Low Current Output Module.  Compatible with HS2016, HS2032, HS2064 and HS2128 control panels.</t>
  </si>
  <si>
    <t>NEO Power Supply Module.  Compatible with HS2016, HS2032, HS2064 and HS2128 control panels.</t>
  </si>
  <si>
    <t>HSM2955</t>
  </si>
  <si>
    <t>NEO Non-Recording Audio Alarm Verification Module.</t>
  </si>
  <si>
    <t>HSM2HOST9</t>
  </si>
  <si>
    <t>PowerG 915Mhz Host Transceiver Module.  Compatible with HS2016, HS2032, HS2064 and HS2128 control panels.</t>
  </si>
  <si>
    <t>Alarm.com Image Sensor Camera</t>
  </si>
  <si>
    <t>PowerG 915Mhz Wireless Indoor Siren.</t>
  </si>
  <si>
    <t>PowerG 915Mhz Wireless PIR Motion Detector with Pet Immunity up to 85lbs.</t>
  </si>
  <si>
    <t>PowerG 915Mhz Wireless Temperature Detector.</t>
  </si>
  <si>
    <t>PG9911B</t>
  </si>
  <si>
    <t>PowerG 915Mhz Wireless Outdoor Siren.</t>
  </si>
  <si>
    <t>PowerG 915Mhz Wireless Glass Break Detector.</t>
  </si>
  <si>
    <t>PowerG 915Mhz Wireless Carbon Monoxide Detector.</t>
  </si>
  <si>
    <t>PowerG 915Mhz Wireless Smoke and Heat Detector.</t>
  </si>
  <si>
    <t>PG9920</t>
  </si>
  <si>
    <t>PowerG 915Mhz Wireless Repeater.</t>
  </si>
  <si>
    <t>PowerG 915Mhz Wireless Curtain Motion Detector.</t>
  </si>
  <si>
    <t>PowerG 915Mhz Wireless Smoke Detector.</t>
  </si>
  <si>
    <t>PG9929</t>
  </si>
  <si>
    <t>PowerG 915Mhz Slimline 4-Button Wireless Key.</t>
  </si>
  <si>
    <t>PowerG 915Mhz Wireless PIR Motion Detector with Built-in Camera and Pet Immunity up to 85lbs.</t>
  </si>
  <si>
    <t>PowerG 915Mhz Wireless Shock Detector.</t>
  </si>
  <si>
    <t>PG9938</t>
  </si>
  <si>
    <t>PowerG 915Mhz Wireless Panic Key.</t>
  </si>
  <si>
    <t>PG9939</t>
  </si>
  <si>
    <t>PowerG 915Mhz Wireless 4-Button Key.</t>
  </si>
  <si>
    <t>PowerG 915Mhz Outdoor Wireless PIR Motion Detector with Built-in Camera and Pet Immunity up to 85lbs.  Includes two 3V CR17450 Lithium battteries.</t>
  </si>
  <si>
    <t>PowerG 915Mhz Wireless Door/Window Contact.</t>
  </si>
  <si>
    <t>PG9945BR</t>
  </si>
  <si>
    <t>PowerG 915Mhz Wireless Door/Window Contact.  Brown plastics.</t>
  </si>
  <si>
    <t>PG9949</t>
  </si>
  <si>
    <t>PowerG 915Mhz Wireless 2-Button Key.</t>
  </si>
  <si>
    <t>PowerG 915Mhz Wireless Mirror Motion Detector with Pet Immunity up to 85lbs.</t>
  </si>
  <si>
    <t>PowerG 915Mhz Vanishing Wireless Door/Window Contact.</t>
  </si>
  <si>
    <t>PG9975BR</t>
  </si>
  <si>
    <t>PowerG 915Mhz Vanishing Wireless Door/Window Contact.  Brown Plastics.</t>
  </si>
  <si>
    <t>PowerG 915Mhz Wireless Dual Tech Motion Detector with Pet Immunity up to 85lbs.</t>
  </si>
  <si>
    <t>PowerG 915Mhz Wireless Flood Detector.</t>
  </si>
  <si>
    <t>PowerG 915Mhz Wireless Outdoor Motion Detector.</t>
  </si>
  <si>
    <t>PGTEMP-PROBE</t>
  </si>
  <si>
    <t>External Temperature Probe for use with PG9905 PowerG Temperatue Detector.</t>
  </si>
  <si>
    <t>TL2803GR-USA</t>
  </si>
  <si>
    <t>PowerSeries NEO Internet and HSPA Dual-path Alarm Communicator for use with Kantech Entrapass for serial integration.  Compatible with Entrapass V6.02.</t>
  </si>
  <si>
    <t>TL2803G-USA</t>
  </si>
  <si>
    <t xml:space="preserve">PowerSeries NEO Internet and HSPA Dual-path Alarm Communicator </t>
  </si>
  <si>
    <t>TL280-NA</t>
  </si>
  <si>
    <t xml:space="preserve">PowerSeries NEO Internet Alarm Communicator </t>
  </si>
  <si>
    <t>TL280R-NA</t>
  </si>
  <si>
    <t>PowerSeries NEO Internet Alarm Communicator for use with Kantech Entrapass for serial integration.  Compatible with Entrapass V6.02.</t>
  </si>
  <si>
    <t>Yes</t>
  </si>
  <si>
    <t>No</t>
  </si>
  <si>
    <t>CP01</t>
  </si>
  <si>
    <t>Q</t>
  </si>
  <si>
    <t>Extended</t>
  </si>
  <si>
    <t>Wireles keys needed</t>
  </si>
  <si>
    <t xml:space="preserve"> CP01 panel?</t>
  </si>
  <si>
    <t>Communicator</t>
  </si>
  <si>
    <t>Alarm.com Verizon</t>
  </si>
  <si>
    <t>Alarm.com AT&amp;T</t>
  </si>
  <si>
    <t>R</t>
  </si>
  <si>
    <t>Image Sensor?</t>
  </si>
  <si>
    <t>BATT13.0-3.6V</t>
  </si>
  <si>
    <t>IS220</t>
  </si>
  <si>
    <t>Keyfobs</t>
  </si>
  <si>
    <t>Are you installling your communicator outside of the enclusure?</t>
  </si>
  <si>
    <t>Transformers</t>
  </si>
  <si>
    <t>Batteries</t>
  </si>
  <si>
    <t>9VADAPTER-US</t>
  </si>
  <si>
    <t xml:space="preserve">UL listed transformer for the WTK5504 wireless touchscreen keypad and the HS2LCDWF PowerSeries NEO Wireless Full Message LCD PowerG 2-Way Wire-Free Keypad.  100-240 V AC 50/60HZ OUTPUT +9V </t>
  </si>
  <si>
    <t>MPT 8PK</t>
  </si>
  <si>
    <t>(Package of 8) PowerG 915Mhz Mini Wireless Proximity Tags.</t>
  </si>
  <si>
    <t>Probe</t>
  </si>
  <si>
    <t>Motion Sensors</t>
  </si>
  <si>
    <t>Keyfob</t>
  </si>
  <si>
    <t>HW keypads with transceiver</t>
  </si>
  <si>
    <t>You will need a transformer per each power supply and per panel.</t>
  </si>
  <si>
    <t>Alerts</t>
  </si>
  <si>
    <t>You will need a battery per each power supply and per panel.</t>
  </si>
  <si>
    <t>Item</t>
  </si>
  <si>
    <t>Total (mA)</t>
  </si>
  <si>
    <t>PCL-422</t>
  </si>
  <si>
    <t>NEO Communicator Remote Mounting Module</t>
  </si>
  <si>
    <t>Keypad</t>
  </si>
  <si>
    <t>Zone Expander</t>
  </si>
  <si>
    <t>PGM Module</t>
  </si>
  <si>
    <t>Power Supply</t>
  </si>
  <si>
    <t>Power Supply and Output module</t>
  </si>
  <si>
    <t>Transceiver</t>
  </si>
  <si>
    <t>GSM Communicator</t>
  </si>
  <si>
    <t>IP Communicator</t>
  </si>
  <si>
    <t>Dual Path Communicator</t>
  </si>
  <si>
    <t>3G8080(I)AT or CD8080(I)VZ</t>
  </si>
  <si>
    <t>Current needed for additional devices</t>
  </si>
  <si>
    <t>x</t>
  </si>
  <si>
    <t xml:space="preserve">Total keybus current = </t>
  </si>
  <si>
    <t>Power Calculation</t>
  </si>
  <si>
    <t>as shown in the picture below. Unselect 0 and blank.</t>
  </si>
  <si>
    <t xml:space="preserve">How much current (mA) will devices draw from the panel? </t>
  </si>
  <si>
    <t>Is 3rd party integration required (ex. Kantech, Exacq ,  Control 4)?</t>
  </si>
  <si>
    <t>CD8055IVZ</t>
  </si>
  <si>
    <t>HSPA cellular communicator with Verizon SIM and built-in Z-Wave exclusive to Alarm.com services.  Requires v1.3+ IMPASSA self-contained wireless security system.</t>
  </si>
  <si>
    <t>Variables</t>
  </si>
  <si>
    <t>Results</t>
  </si>
  <si>
    <t>Transceiver HM2HOST</t>
  </si>
  <si>
    <t>Hyperlinks</t>
  </si>
  <si>
    <t xml:space="preserve">Video Verification </t>
  </si>
  <si>
    <t>3.6V 14.5Ah replacement battery for PGX901/PGX911 indoor &amp; outdoor sirens.</t>
  </si>
  <si>
    <t>To have a neat quote please filter column "Q"</t>
  </si>
  <si>
    <t xml:space="preserve">Margin </t>
  </si>
  <si>
    <t>End user Price
($USD)</t>
  </si>
  <si>
    <r>
      <t xml:space="preserve">Clicking on a </t>
    </r>
    <r>
      <rPr>
        <b/>
        <sz val="12"/>
        <color theme="0" tint="-0.499984740745262"/>
        <rFont val="Calibri"/>
        <family val="2"/>
        <scheme val="minor"/>
      </rPr>
      <t>Part Number</t>
    </r>
    <r>
      <rPr>
        <sz val="12"/>
        <color theme="0" tint="-0.499984740745262"/>
        <rFont val="Calibri"/>
        <family val="2"/>
        <scheme val="minor"/>
      </rPr>
      <t xml:space="preserve"> above will open a web page with the specs of  the product.</t>
    </r>
  </si>
  <si>
    <t>Created by Santiago Rivera and Mark Buckley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</si>
</sst>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1"/>
      <color theme="0" tint="-0.1499984740745262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21837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E21837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E21837"/>
      </right>
      <top/>
      <bottom/>
      <diagonal/>
    </border>
    <border>
      <left/>
      <right/>
      <top/>
      <bottom style="thin">
        <color rgb="FFE21837"/>
      </bottom>
      <diagonal/>
    </border>
    <border>
      <left/>
      <right style="thin">
        <color rgb="FFE21837"/>
      </right>
      <top style="thin">
        <color rgb="FFE21837"/>
      </top>
      <bottom style="thin">
        <color rgb="FFE21837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Protection="0"/>
    <xf numFmtId="44" fontId="2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applyBorder="1"/>
    <xf numFmtId="0" fontId="3" fillId="2" borderId="2" xfId="1" applyFont="1" applyFill="1" applyBorder="1" applyAlignment="1">
      <alignment horizontal="center" vertical="center" wrapText="1"/>
    </xf>
    <xf numFmtId="7" fontId="3" fillId="2" borderId="2" xfId="2" applyNumberFormat="1" applyFont="1" applyFill="1" applyBorder="1" applyAlignment="1">
      <alignment horizontal="center" vertical="center" wrapText="1"/>
    </xf>
    <xf numFmtId="44" fontId="3" fillId="2" borderId="2" xfId="2" applyFont="1" applyFill="1" applyBorder="1" applyAlignment="1">
      <alignment horizontal="center" vertical="center" wrapText="1"/>
    </xf>
    <xf numFmtId="0" fontId="2" fillId="0" borderId="1" xfId="3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44" fontId="5" fillId="0" borderId="1" xfId="2" applyFont="1" applyFill="1" applyBorder="1" applyAlignment="1">
      <alignment vertical="center"/>
    </xf>
    <xf numFmtId="0" fontId="2" fillId="0" borderId="1" xfId="3" applyFill="1" applyBorder="1" applyAlignment="1">
      <alignment horizontal="center" vertical="center"/>
    </xf>
    <xf numFmtId="0" fontId="2" fillId="0" borderId="1" xfId="3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/>
    </xf>
    <xf numFmtId="44" fontId="0" fillId="0" borderId="0" xfId="0" applyNumberFormat="1"/>
    <xf numFmtId="0" fontId="0" fillId="0" borderId="1" xfId="0" applyBorder="1"/>
    <xf numFmtId="0" fontId="0" fillId="0" borderId="0" xfId="0" applyAlignment="1">
      <alignment horizontal="right"/>
    </xf>
    <xf numFmtId="0" fontId="2" fillId="0" borderId="1" xfId="3" applyFill="1" applyBorder="1" applyAlignment="1">
      <alignment horizontal="left" vertical="center" wrapText="1"/>
    </xf>
    <xf numFmtId="44" fontId="0" fillId="0" borderId="1" xfId="0" applyNumberFormat="1" applyBorder="1"/>
    <xf numFmtId="0" fontId="0" fillId="0" borderId="1" xfId="0" applyFill="1" applyBorder="1"/>
    <xf numFmtId="44" fontId="5" fillId="0" borderId="1" xfId="4" applyFont="1" applyFill="1" applyBorder="1" applyAlignment="1">
      <alignment vertical="center"/>
    </xf>
    <xf numFmtId="44" fontId="2" fillId="0" borderId="1" xfId="4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4" fillId="0" borderId="0" xfId="0" applyFont="1"/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9" fillId="0" borderId="0" xfId="0" applyFont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13" fillId="0" borderId="0" xfId="0" applyFont="1" applyProtection="1"/>
    <xf numFmtId="0" fontId="10" fillId="0" borderId="0" xfId="0" applyFont="1" applyProtection="1"/>
    <xf numFmtId="0" fontId="0" fillId="0" borderId="0" xfId="0" applyAlignment="1">
      <alignment vertical="top"/>
    </xf>
    <xf numFmtId="0" fontId="9" fillId="0" borderId="9" xfId="0" applyFont="1" applyBorder="1" applyProtection="1"/>
    <xf numFmtId="0" fontId="9" fillId="0" borderId="10" xfId="0" applyFont="1" applyBorder="1" applyProtection="1"/>
    <xf numFmtId="0" fontId="9" fillId="0" borderId="11" xfId="0" applyFont="1" applyBorder="1" applyProtection="1"/>
    <xf numFmtId="0" fontId="9" fillId="0" borderId="12" xfId="0" applyFont="1" applyBorder="1" applyProtection="1"/>
    <xf numFmtId="0" fontId="9" fillId="0" borderId="13" xfId="0" applyFont="1" applyBorder="1" applyProtection="1"/>
    <xf numFmtId="0" fontId="9" fillId="0" borderId="8" xfId="0" applyFont="1" applyBorder="1" applyProtection="1"/>
    <xf numFmtId="0" fontId="0" fillId="0" borderId="17" xfId="0" applyBorder="1" applyAlignment="1" applyProtection="1">
      <alignment horizontal="center"/>
    </xf>
    <xf numFmtId="0" fontId="6" fillId="5" borderId="18" xfId="0" applyFont="1" applyFill="1" applyBorder="1" applyAlignment="1" applyProtection="1">
      <alignment horizontal="center"/>
      <protection locked="0"/>
    </xf>
    <xf numFmtId="0" fontId="0" fillId="0" borderId="17" xfId="0" applyBorder="1" applyProtection="1"/>
    <xf numFmtId="0" fontId="0" fillId="0" borderId="19" xfId="0" applyBorder="1" applyProtection="1"/>
    <xf numFmtId="0" fontId="0" fillId="0" borderId="14" xfId="0" applyBorder="1" applyProtection="1"/>
    <xf numFmtId="0" fontId="0" fillId="0" borderId="16" xfId="0" applyBorder="1" applyProtection="1"/>
    <xf numFmtId="0" fontId="0" fillId="4" borderId="15" xfId="0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6" fillId="5" borderId="12" xfId="0" applyFont="1" applyFill="1" applyBorder="1" applyAlignment="1" applyProtection="1">
      <alignment horizontal="center"/>
      <protection locked="0"/>
    </xf>
    <xf numFmtId="0" fontId="6" fillId="0" borderId="16" xfId="0" applyFont="1" applyBorder="1" applyProtection="1"/>
    <xf numFmtId="0" fontId="0" fillId="4" borderId="15" xfId="0" applyFill="1" applyBorder="1" applyAlignment="1" applyProtection="1">
      <alignment horizontal="center" vertical="center"/>
    </xf>
    <xf numFmtId="0" fontId="0" fillId="0" borderId="6" xfId="0" applyBorder="1" applyAlignment="1" applyProtection="1"/>
    <xf numFmtId="0" fontId="6" fillId="5" borderId="6" xfId="0" applyFont="1" applyFill="1" applyBorder="1" applyAlignment="1" applyProtection="1">
      <alignment horizontal="center"/>
      <protection locked="0"/>
    </xf>
    <xf numFmtId="0" fontId="0" fillId="0" borderId="11" xfId="0" applyBorder="1" applyProtection="1"/>
    <xf numFmtId="0" fontId="6" fillId="5" borderId="19" xfId="0" applyFont="1" applyFill="1" applyBorder="1" applyAlignment="1" applyProtection="1">
      <alignment horizontal="center"/>
      <protection locked="0"/>
    </xf>
    <xf numFmtId="0" fontId="0" fillId="0" borderId="10" xfId="0" applyBorder="1" applyProtection="1"/>
    <xf numFmtId="0" fontId="16" fillId="0" borderId="0" xfId="0" applyFont="1" applyProtection="1"/>
    <xf numFmtId="0" fontId="6" fillId="5" borderId="21" xfId="0" applyFont="1" applyFill="1" applyBorder="1" applyAlignment="1" applyProtection="1">
      <protection locked="0"/>
    </xf>
    <xf numFmtId="0" fontId="0" fillId="4" borderId="21" xfId="0" applyFill="1" applyBorder="1" applyAlignment="1" applyProtection="1"/>
    <xf numFmtId="0" fontId="15" fillId="5" borderId="22" xfId="0" applyFont="1" applyFill="1" applyBorder="1" applyProtection="1"/>
    <xf numFmtId="0" fontId="15" fillId="5" borderId="23" xfId="0" applyFont="1" applyFill="1" applyBorder="1" applyProtection="1"/>
    <xf numFmtId="0" fontId="15" fillId="5" borderId="24" xfId="0" applyFont="1" applyFill="1" applyBorder="1" applyProtection="1"/>
    <xf numFmtId="0" fontId="0" fillId="0" borderId="16" xfId="0" applyBorder="1" applyAlignment="1" applyProtection="1">
      <alignment horizontal="center"/>
    </xf>
    <xf numFmtId="0" fontId="0" fillId="0" borderId="15" xfId="0" applyBorder="1" applyProtection="1"/>
    <xf numFmtId="0" fontId="0" fillId="0" borderId="1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8" fillId="6" borderId="20" xfId="0" applyFont="1" applyFill="1" applyBorder="1" applyAlignment="1" applyProtection="1">
      <alignment horizontal="center"/>
    </xf>
    <xf numFmtId="0" fontId="7" fillId="7" borderId="17" xfId="5" applyFont="1" applyFill="1" applyBorder="1" applyAlignment="1" applyProtection="1">
      <alignment horizontal="center"/>
    </xf>
    <xf numFmtId="0" fontId="7" fillId="7" borderId="10" xfId="5" applyFont="1" applyFill="1" applyBorder="1" applyAlignment="1" applyProtection="1">
      <alignment horizontal="center"/>
    </xf>
    <xf numFmtId="0" fontId="13" fillId="0" borderId="17" xfId="5" applyFont="1" applyFill="1" applyBorder="1" applyAlignment="1" applyProtection="1">
      <alignment horizontal="center"/>
    </xf>
    <xf numFmtId="0" fontId="13" fillId="0" borderId="10" xfId="5" applyFont="1" applyFill="1" applyBorder="1" applyAlignment="1" applyProtection="1">
      <alignment horizontal="center"/>
    </xf>
    <xf numFmtId="0" fontId="13" fillId="0" borderId="0" xfId="5" applyFont="1" applyFill="1" applyBorder="1" applyAlignment="1" applyProtection="1">
      <alignment horizontal="center"/>
    </xf>
    <xf numFmtId="0" fontId="13" fillId="7" borderId="17" xfId="5" applyFont="1" applyFill="1" applyBorder="1" applyAlignment="1" applyProtection="1">
      <alignment horizontal="center"/>
    </xf>
    <xf numFmtId="0" fontId="13" fillId="7" borderId="10" xfId="5" applyFont="1" applyFill="1" applyBorder="1" applyAlignment="1" applyProtection="1">
      <alignment horizontal="center"/>
    </xf>
    <xf numFmtId="0" fontId="17" fillId="0" borderId="19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8" fillId="6" borderId="3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4" fillId="5" borderId="1" xfId="0" applyFont="1" applyFill="1" applyBorder="1" applyAlignment="1" applyProtection="1">
      <alignment horizontal="center"/>
      <protection locked="0"/>
    </xf>
    <xf numFmtId="0" fontId="18" fillId="6" borderId="2" xfId="1" applyFont="1" applyFill="1" applyBorder="1" applyAlignment="1">
      <alignment horizontal="center" vertical="center" wrapText="1"/>
    </xf>
    <xf numFmtId="7" fontId="18" fillId="6" borderId="2" xfId="2" applyNumberFormat="1" applyFont="1" applyFill="1" applyBorder="1" applyAlignment="1">
      <alignment horizontal="center" vertical="center" wrapText="1"/>
    </xf>
    <xf numFmtId="44" fontId="18" fillId="6" borderId="2" xfId="2" applyFont="1" applyFill="1" applyBorder="1" applyAlignment="1">
      <alignment horizontal="center" vertical="center" wrapText="1"/>
    </xf>
    <xf numFmtId="44" fontId="18" fillId="6" borderId="2" xfId="2" applyFont="1" applyFill="1" applyBorder="1" applyAlignment="1" applyProtection="1">
      <alignment horizontal="center" vertical="center" wrapText="1"/>
      <protection locked="0"/>
    </xf>
    <xf numFmtId="0" fontId="0" fillId="4" borderId="31" xfId="0" applyFill="1" applyBorder="1"/>
    <xf numFmtId="44" fontId="0" fillId="4" borderId="32" xfId="0" applyNumberFormat="1" applyFill="1" applyBorder="1"/>
    <xf numFmtId="0" fontId="0" fillId="0" borderId="33" xfId="0" applyBorder="1"/>
    <xf numFmtId="0" fontId="0" fillId="4" borderId="34" xfId="0" applyFill="1" applyBorder="1"/>
    <xf numFmtId="0" fontId="0" fillId="0" borderId="34" xfId="0" applyBorder="1"/>
    <xf numFmtId="0" fontId="0" fillId="0" borderId="36" xfId="0" applyBorder="1"/>
    <xf numFmtId="0" fontId="20" fillId="4" borderId="0" xfId="0" applyFont="1" applyFill="1" applyBorder="1" applyAlignment="1" applyProtection="1">
      <alignment horizontal="left"/>
    </xf>
    <xf numFmtId="0" fontId="20" fillId="4" borderId="27" xfId="0" applyFont="1" applyFill="1" applyBorder="1" applyAlignment="1" applyProtection="1">
      <alignment horizontal="left"/>
    </xf>
    <xf numFmtId="0" fontId="15" fillId="5" borderId="31" xfId="0" applyFont="1" applyFill="1" applyBorder="1" applyProtection="1"/>
    <xf numFmtId="0" fontId="15" fillId="5" borderId="40" xfId="0" applyFont="1" applyFill="1" applyBorder="1" applyProtection="1"/>
    <xf numFmtId="0" fontId="15" fillId="5" borderId="32" xfId="0" applyFont="1" applyFill="1" applyBorder="1" applyProtection="1"/>
    <xf numFmtId="9" fontId="0" fillId="4" borderId="35" xfId="0" applyNumberFormat="1" applyFill="1" applyBorder="1" applyProtection="1">
      <protection locked="0"/>
    </xf>
    <xf numFmtId="0" fontId="9" fillId="0" borderId="0" xfId="0" applyFont="1" applyFill="1" applyProtection="1"/>
    <xf numFmtId="0" fontId="22" fillId="0" borderId="0" xfId="0" applyFont="1"/>
    <xf numFmtId="0" fontId="6" fillId="5" borderId="1" xfId="0" applyFont="1" applyFill="1" applyBorder="1" applyProtection="1">
      <protection locked="0"/>
    </xf>
    <xf numFmtId="0" fontId="6" fillId="0" borderId="0" xfId="0" applyFont="1"/>
    <xf numFmtId="0" fontId="8" fillId="6" borderId="13" xfId="0" applyFont="1" applyFill="1" applyBorder="1" applyAlignment="1" applyProtection="1">
      <alignment horizontal="center"/>
    </xf>
    <xf numFmtId="0" fontId="8" fillId="6" borderId="8" xfId="0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20" fillId="4" borderId="39" xfId="0" applyFont="1" applyFill="1" applyBorder="1" applyAlignment="1" applyProtection="1">
      <alignment horizontal="left"/>
    </xf>
    <xf numFmtId="0" fontId="20" fillId="4" borderId="25" xfId="0" applyFont="1" applyFill="1" applyBorder="1" applyAlignment="1" applyProtection="1">
      <alignment horizontal="left"/>
    </xf>
    <xf numFmtId="0" fontId="20" fillId="4" borderId="26" xfId="0" applyFont="1" applyFill="1" applyBorder="1" applyAlignment="1" applyProtection="1">
      <alignment horizontal="left"/>
    </xf>
    <xf numFmtId="0" fontId="20" fillId="4" borderId="37" xfId="0" applyFont="1" applyFill="1" applyBorder="1" applyAlignment="1" applyProtection="1">
      <alignment horizontal="left"/>
    </xf>
    <xf numFmtId="0" fontId="20" fillId="4" borderId="0" xfId="0" applyFont="1" applyFill="1" applyBorder="1" applyAlignment="1" applyProtection="1">
      <alignment horizontal="left"/>
    </xf>
    <xf numFmtId="0" fontId="20" fillId="4" borderId="27" xfId="0" applyFont="1" applyFill="1" applyBorder="1" applyAlignment="1" applyProtection="1">
      <alignment horizontal="left"/>
    </xf>
    <xf numFmtId="0" fontId="17" fillId="4" borderId="11" xfId="0" applyFont="1" applyFill="1" applyBorder="1" applyAlignment="1" applyProtection="1">
      <alignment horizontal="center" vertical="center" wrapText="1"/>
    </xf>
    <xf numFmtId="0" fontId="17" fillId="4" borderId="12" xfId="0" applyFont="1" applyFill="1" applyBorder="1" applyAlignment="1" applyProtection="1">
      <alignment horizontal="center" vertical="center" wrapText="1"/>
    </xf>
    <xf numFmtId="0" fontId="19" fillId="6" borderId="30" xfId="0" applyFont="1" applyFill="1" applyBorder="1" applyAlignment="1" applyProtection="1">
      <alignment horizontal="center"/>
    </xf>
    <xf numFmtId="0" fontId="20" fillId="4" borderId="38" xfId="0" applyFont="1" applyFill="1" applyBorder="1" applyAlignment="1" applyProtection="1">
      <alignment horizontal="left"/>
    </xf>
    <xf numFmtId="0" fontId="20" fillId="4" borderId="28" xfId="0" applyFont="1" applyFill="1" applyBorder="1" applyAlignment="1" applyProtection="1">
      <alignment horizontal="left"/>
    </xf>
    <xf numFmtId="0" fontId="20" fillId="4" borderId="29" xfId="0" applyFont="1" applyFill="1" applyBorder="1" applyAlignment="1" applyProtection="1">
      <alignment horizontal="left"/>
    </xf>
    <xf numFmtId="0" fontId="8" fillId="6" borderId="7" xfId="0" applyFont="1" applyFill="1" applyBorder="1" applyAlignment="1" applyProtection="1">
      <alignment horizontal="center"/>
    </xf>
    <xf numFmtId="0" fontId="6" fillId="5" borderId="11" xfId="0" applyFont="1" applyFill="1" applyBorder="1" applyAlignment="1" applyProtection="1">
      <alignment horizontal="center"/>
      <protection locked="0"/>
    </xf>
    <xf numFmtId="0" fontId="6" fillId="5" borderId="19" xfId="0" applyFont="1" applyFill="1" applyBorder="1" applyAlignment="1" applyProtection="1">
      <alignment horizontal="center"/>
      <protection locked="0"/>
    </xf>
    <xf numFmtId="0" fontId="6" fillId="5" borderId="12" xfId="0" applyFont="1" applyFill="1" applyBorder="1" applyAlignment="1" applyProtection="1">
      <alignment horizontal="center"/>
      <protection locked="0"/>
    </xf>
    <xf numFmtId="0" fontId="8" fillId="6" borderId="6" xfId="0" applyFont="1" applyFill="1" applyBorder="1" applyAlignment="1" applyProtection="1">
      <alignment horizontal="center"/>
    </xf>
    <xf numFmtId="0" fontId="6" fillId="6" borderId="7" xfId="5" applyFont="1" applyFill="1" applyBorder="1" applyAlignment="1" applyProtection="1">
      <alignment horizontal="center" wrapText="1"/>
    </xf>
    <xf numFmtId="0" fontId="6" fillId="6" borderId="8" xfId="5" applyFont="1" applyFill="1" applyBorder="1" applyAlignment="1" applyProtection="1">
      <alignment horizontal="center" wrapText="1"/>
    </xf>
    <xf numFmtId="0" fontId="6" fillId="6" borderId="9" xfId="5" applyFont="1" applyFill="1" applyBorder="1" applyAlignment="1" applyProtection="1">
      <alignment horizontal="center" wrapText="1"/>
    </xf>
    <xf numFmtId="0" fontId="6" fillId="6" borderId="10" xfId="5" applyFont="1" applyFill="1" applyBorder="1" applyAlignment="1" applyProtection="1">
      <alignment horizontal="center" wrapText="1"/>
    </xf>
    <xf numFmtId="0" fontId="6" fillId="6" borderId="13" xfId="5" applyFont="1" applyFill="1" applyBorder="1" applyAlignment="1" applyProtection="1">
      <alignment horizontal="center" wrapText="1"/>
    </xf>
    <xf numFmtId="0" fontId="6" fillId="6" borderId="0" xfId="5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6" fillId="6" borderId="7" xfId="5" applyFont="1" applyFill="1" applyBorder="1" applyAlignment="1" applyProtection="1">
      <alignment horizontal="center" vertical="center" wrapText="1"/>
    </xf>
    <xf numFmtId="0" fontId="6" fillId="6" borderId="13" xfId="5" applyFont="1" applyFill="1" applyBorder="1" applyAlignment="1" applyProtection="1">
      <alignment horizontal="center" vertical="center" wrapText="1"/>
    </xf>
    <xf numFmtId="0" fontId="6" fillId="6" borderId="8" xfId="5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top"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6" fillId="6" borderId="13" xfId="0" applyFont="1" applyFill="1" applyBorder="1" applyAlignment="1" applyProtection="1">
      <alignment horizontal="center" vertical="center" wrapText="1"/>
    </xf>
    <xf numFmtId="0" fontId="6" fillId="6" borderId="8" xfId="0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0" fillId="4" borderId="10" xfId="0" applyFont="1" applyFill="1" applyBorder="1" applyAlignment="1" applyProtection="1">
      <alignment horizontal="center" vertical="center" wrapText="1"/>
    </xf>
    <xf numFmtId="0" fontId="0" fillId="4" borderId="19" xfId="0" applyFont="1" applyFill="1" applyBorder="1" applyAlignment="1" applyProtection="1">
      <alignment horizontal="center" vertical="center" wrapText="1"/>
    </xf>
    <xf numFmtId="0" fontId="0" fillId="4" borderId="12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right"/>
    </xf>
  </cellXfs>
  <cellStyles count="6">
    <cellStyle name="Currency" xfId="4" builtinId="4"/>
    <cellStyle name="Currency 2" xfId="2"/>
    <cellStyle name="Hyperlink" xfId="5" builtinId="8"/>
    <cellStyle name="Normal" xfId="0" builtinId="0"/>
    <cellStyle name="Normal 2" xfId="3"/>
    <cellStyle name="Normal_xxMaster Price List - Latin America (and US Distributor) (Feb 10, 2004) 2" xfId="1"/>
  </cellStyles>
  <dxfs count="4">
    <dxf>
      <font>
        <color rgb="FFE21837"/>
      </font>
    </dxf>
    <dxf>
      <font>
        <color rgb="FFE21837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E21837"/>
      <color rgb="FF0068A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130968</xdr:colOff>
      <xdr:row>4</xdr:row>
      <xdr:rowOff>25003</xdr:rowOff>
    </xdr:from>
    <xdr:to>
      <xdr:col>2</xdr:col>
      <xdr:colOff>1038224</xdr:colOff>
      <xdr:row>4</xdr:row>
      <xdr:rowOff>932259</xdr:rowOff>
    </xdr:to>
    <xdr:pic>
      <xdr:nvPicPr>
        <xdr:cNvPr id="2" name="Picture 1" descr="http://cms.dsc.com/media/products/thumbs/l_PG9904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861" y="555682"/>
          <a:ext cx="907256" cy="907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113017</xdr:colOff>
      <xdr:row>4</xdr:row>
      <xdr:rowOff>7144</xdr:rowOff>
    </xdr:from>
    <xdr:to>
      <xdr:col>3</xdr:col>
      <xdr:colOff>1055992</xdr:colOff>
      <xdr:row>4</xdr:row>
      <xdr:rowOff>950119</xdr:rowOff>
    </xdr:to>
    <xdr:pic>
      <xdr:nvPicPr>
        <xdr:cNvPr id="4" name="Picture 3" descr="http://cms.dsc.com/media/products/thumbs/l_PG9934P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910" y="537823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127762</xdr:colOff>
      <xdr:row>4</xdr:row>
      <xdr:rowOff>21431</xdr:rowOff>
    </xdr:from>
    <xdr:to>
      <xdr:col>4</xdr:col>
      <xdr:colOff>1042162</xdr:colOff>
      <xdr:row>4</xdr:row>
      <xdr:rowOff>935831</xdr:rowOff>
    </xdr:to>
    <xdr:pic>
      <xdr:nvPicPr>
        <xdr:cNvPr id="5" name="Picture 4" descr="http://cms.dsc.com/media/products/thumbs/l_PG9924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655" y="55211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113932</xdr:colOff>
      <xdr:row>3</xdr:row>
      <xdr:rowOff>184944</xdr:rowOff>
    </xdr:from>
    <xdr:to>
      <xdr:col>5</xdr:col>
      <xdr:colOff>1056907</xdr:colOff>
      <xdr:row>4</xdr:row>
      <xdr:rowOff>937419</xdr:rowOff>
    </xdr:to>
    <xdr:pic>
      <xdr:nvPicPr>
        <xdr:cNvPr id="6" name="Picture 5" descr="http://cms.dsc.com/media/products/thumbs/l_PG9984P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732" y="718344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116583</xdr:colOff>
      <xdr:row>3</xdr:row>
      <xdr:rowOff>184944</xdr:rowOff>
    </xdr:from>
    <xdr:to>
      <xdr:col>6</xdr:col>
      <xdr:colOff>1059558</xdr:colOff>
      <xdr:row>4</xdr:row>
      <xdr:rowOff>937419</xdr:rowOff>
    </xdr:to>
    <xdr:pic>
      <xdr:nvPicPr>
        <xdr:cNvPr id="8" name="Picture 7" descr="http://cms.dsc.com/media/products/thumbs/l_PG9984P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9383" y="718344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116208</xdr:colOff>
      <xdr:row>4</xdr:row>
      <xdr:rowOff>10001</xdr:rowOff>
    </xdr:from>
    <xdr:to>
      <xdr:col>7</xdr:col>
      <xdr:colOff>1030608</xdr:colOff>
      <xdr:row>4</xdr:row>
      <xdr:rowOff>947261</xdr:rowOff>
    </xdr:to>
    <xdr:pic>
      <xdr:nvPicPr>
        <xdr:cNvPr id="9" name="Picture 8" descr="http://cms.dsc.com/media/products/thumbs/l_PG9994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101" y="540680"/>
          <a:ext cx="91440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99354</xdr:colOff>
      <xdr:row>4</xdr:row>
      <xdr:rowOff>15687</xdr:rowOff>
    </xdr:from>
    <xdr:to>
      <xdr:col>8</xdr:col>
      <xdr:colOff>1076196</xdr:colOff>
      <xdr:row>4</xdr:row>
      <xdr:rowOff>941576</xdr:rowOff>
    </xdr:to>
    <xdr:pic>
      <xdr:nvPicPr>
        <xdr:cNvPr id="10" name="Picture 9" descr="http://cms.dsc.com/media/products/thumbs/l_PG9944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47" y="546366"/>
          <a:ext cx="976842" cy="925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133046</xdr:colOff>
      <xdr:row>10</xdr:row>
      <xdr:rowOff>19050</xdr:rowOff>
    </xdr:from>
    <xdr:to>
      <xdr:col>1</xdr:col>
      <xdr:colOff>1092885</xdr:colOff>
      <xdr:row>10</xdr:row>
      <xdr:rowOff>942974</xdr:rowOff>
    </xdr:to>
    <xdr:pic>
      <xdr:nvPicPr>
        <xdr:cNvPr id="11" name="Picture 10" descr="http://cms.dsc.com/media/products/thumbs/l_PG9945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17" y="2495550"/>
          <a:ext cx="959839" cy="923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125208</xdr:colOff>
      <xdr:row>10</xdr:row>
      <xdr:rowOff>47625</xdr:rowOff>
    </xdr:from>
    <xdr:to>
      <xdr:col>3</xdr:col>
      <xdr:colOff>1084959</xdr:colOff>
      <xdr:row>10</xdr:row>
      <xdr:rowOff>914400</xdr:rowOff>
    </xdr:to>
    <xdr:pic>
      <xdr:nvPicPr>
        <xdr:cNvPr id="12" name="Picture 11" descr="http://cms.dsc.com/media/products/thumbs/l_pg9975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279" y="2524125"/>
          <a:ext cx="959751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120306</xdr:colOff>
      <xdr:row>10</xdr:row>
      <xdr:rowOff>23812</xdr:rowOff>
    </xdr:from>
    <xdr:to>
      <xdr:col>5</xdr:col>
      <xdr:colOff>1034706</xdr:colOff>
      <xdr:row>10</xdr:row>
      <xdr:rowOff>938212</xdr:rowOff>
    </xdr:to>
    <xdr:pic>
      <xdr:nvPicPr>
        <xdr:cNvPr id="13" name="Picture 12" descr="http://cms.dsc.com/media/products/thumbs/l_PG9935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377" y="2500312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152482</xdr:colOff>
      <xdr:row>10</xdr:row>
      <xdr:rowOff>126206</xdr:rowOff>
    </xdr:from>
    <xdr:to>
      <xdr:col>6</xdr:col>
      <xdr:colOff>1053227</xdr:colOff>
      <xdr:row>10</xdr:row>
      <xdr:rowOff>835819</xdr:rowOff>
    </xdr:to>
    <xdr:pic>
      <xdr:nvPicPr>
        <xdr:cNvPr id="14" name="Picture 13" descr="http://cms.dsc.com/media/products/thumbs/l_PG9912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3553" y="2602706"/>
          <a:ext cx="900745" cy="709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116575</xdr:colOff>
      <xdr:row>10</xdr:row>
      <xdr:rowOff>9525</xdr:rowOff>
    </xdr:from>
    <xdr:to>
      <xdr:col>7</xdr:col>
      <xdr:colOff>1022737</xdr:colOff>
      <xdr:row>11</xdr:row>
      <xdr:rowOff>0</xdr:rowOff>
    </xdr:to>
    <xdr:pic>
      <xdr:nvPicPr>
        <xdr:cNvPr id="15" name="Picture 14" descr="http://cms.dsc.com/media/products/thumbs/l_PG9926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0646" y="2486025"/>
          <a:ext cx="906162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154120</xdr:colOff>
      <xdr:row>10</xdr:row>
      <xdr:rowOff>14287</xdr:rowOff>
    </xdr:from>
    <xdr:to>
      <xdr:col>8</xdr:col>
      <xdr:colOff>1005128</xdr:colOff>
      <xdr:row>10</xdr:row>
      <xdr:rowOff>947737</xdr:rowOff>
    </xdr:to>
    <xdr:pic>
      <xdr:nvPicPr>
        <xdr:cNvPr id="16" name="Picture 15" descr="http://cms.dsc.com/media/products/thumbs/l_PG9916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1191" y="2490787"/>
          <a:ext cx="851008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136511</xdr:colOff>
      <xdr:row>10</xdr:row>
      <xdr:rowOff>14287</xdr:rowOff>
    </xdr:from>
    <xdr:to>
      <xdr:col>9</xdr:col>
      <xdr:colOff>1112668</xdr:colOff>
      <xdr:row>10</xdr:row>
      <xdr:rowOff>947737</xdr:rowOff>
    </xdr:to>
    <xdr:pic>
      <xdr:nvPicPr>
        <xdr:cNvPr id="17" name="Picture 16" descr="http://cms.dsc.com/media/products/thumbs/l_PG9913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6582" y="2490787"/>
          <a:ext cx="976157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189623</xdr:colOff>
      <xdr:row>10</xdr:row>
      <xdr:rowOff>80962</xdr:rowOff>
    </xdr:from>
    <xdr:to>
      <xdr:col>10</xdr:col>
      <xdr:colOff>989723</xdr:colOff>
      <xdr:row>10</xdr:row>
      <xdr:rowOff>881062</xdr:rowOff>
    </xdr:to>
    <xdr:pic>
      <xdr:nvPicPr>
        <xdr:cNvPr id="18" name="Picture 17" descr="http://cms.dsc.com/media/products/thumbs/l_PG9905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4423" y="2620962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161930</xdr:colOff>
      <xdr:row>10</xdr:row>
      <xdr:rowOff>244588</xdr:rowOff>
    </xdr:from>
    <xdr:to>
      <xdr:col>11</xdr:col>
      <xdr:colOff>958050</xdr:colOff>
      <xdr:row>10</xdr:row>
      <xdr:rowOff>744651</xdr:rowOff>
    </xdr:to>
    <xdr:pic>
      <xdr:nvPicPr>
        <xdr:cNvPr id="19" name="Picture 18" descr="http://cms.dsc.com/media/products/thumbs/l_PG9985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8001" y="2721088"/>
          <a:ext cx="796120" cy="500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141513</xdr:colOff>
      <xdr:row>10</xdr:row>
      <xdr:rowOff>52387</xdr:rowOff>
    </xdr:from>
    <xdr:to>
      <xdr:col>13</xdr:col>
      <xdr:colOff>1012370</xdr:colOff>
      <xdr:row>10</xdr:row>
      <xdr:rowOff>890587</xdr:rowOff>
    </xdr:to>
    <xdr:pic>
      <xdr:nvPicPr>
        <xdr:cNvPr id="20" name="Picture 19" descr="http://cms.dsc.com/media/products/thumbs/l_PG9901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4406" y="2392816"/>
          <a:ext cx="870857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141513</xdr:colOff>
      <xdr:row>10</xdr:row>
      <xdr:rowOff>23812</xdr:rowOff>
    </xdr:from>
    <xdr:to>
      <xdr:col>14</xdr:col>
      <xdr:colOff>1055913</xdr:colOff>
      <xdr:row>10</xdr:row>
      <xdr:rowOff>938212</xdr:rowOff>
    </xdr:to>
    <xdr:pic>
      <xdr:nvPicPr>
        <xdr:cNvPr id="21" name="Picture 20" descr="http://cms.dsc.com/media/products/thumbs/l_PG991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7406" y="2364241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76201</xdr:colOff>
      <xdr:row>16</xdr:row>
      <xdr:rowOff>28576</xdr:rowOff>
    </xdr:from>
    <xdr:to>
      <xdr:col>12</xdr:col>
      <xdr:colOff>766287</xdr:colOff>
      <xdr:row>16</xdr:row>
      <xdr:rowOff>904876</xdr:rowOff>
    </xdr:to>
    <xdr:pic>
      <xdr:nvPicPr>
        <xdr:cNvPr id="22" name="Picture 21" descr="http://cms.dsc.com/media/products/thumbs/l_LC-100-PI_LC-120-PI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6" y="4791076"/>
          <a:ext cx="69008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206828</xdr:colOff>
      <xdr:row>16</xdr:row>
      <xdr:rowOff>19408</xdr:rowOff>
    </xdr:from>
    <xdr:to>
      <xdr:col>1</xdr:col>
      <xdr:colOff>1025977</xdr:colOff>
      <xdr:row>16</xdr:row>
      <xdr:rowOff>914042</xdr:rowOff>
    </xdr:to>
    <xdr:pic>
      <xdr:nvPicPr>
        <xdr:cNvPr id="23" name="Picture 22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4183194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173801</xdr:colOff>
      <xdr:row>16</xdr:row>
      <xdr:rowOff>19408</xdr:rowOff>
    </xdr:from>
    <xdr:to>
      <xdr:col>2</xdr:col>
      <xdr:colOff>992950</xdr:colOff>
      <xdr:row>16</xdr:row>
      <xdr:rowOff>914042</xdr:rowOff>
    </xdr:to>
    <xdr:pic>
      <xdr:nvPicPr>
        <xdr:cNvPr id="29" name="Picture 28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694" y="4183194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181594</xdr:colOff>
      <xdr:row>16</xdr:row>
      <xdr:rowOff>19408</xdr:rowOff>
    </xdr:from>
    <xdr:to>
      <xdr:col>3</xdr:col>
      <xdr:colOff>1000743</xdr:colOff>
      <xdr:row>16</xdr:row>
      <xdr:rowOff>914042</xdr:rowOff>
    </xdr:to>
    <xdr:pic>
      <xdr:nvPicPr>
        <xdr:cNvPr id="30" name="Picture 29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4487" y="4183194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162174</xdr:colOff>
      <xdr:row>16</xdr:row>
      <xdr:rowOff>19408</xdr:rowOff>
    </xdr:from>
    <xdr:to>
      <xdr:col>4</xdr:col>
      <xdr:colOff>981323</xdr:colOff>
      <xdr:row>16</xdr:row>
      <xdr:rowOff>914042</xdr:rowOff>
    </xdr:to>
    <xdr:pic>
      <xdr:nvPicPr>
        <xdr:cNvPr id="31" name="Picture 30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67" y="4183194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183575</xdr:colOff>
      <xdr:row>16</xdr:row>
      <xdr:rowOff>19408</xdr:rowOff>
    </xdr:from>
    <xdr:to>
      <xdr:col>5</xdr:col>
      <xdr:colOff>1002724</xdr:colOff>
      <xdr:row>16</xdr:row>
      <xdr:rowOff>914042</xdr:rowOff>
    </xdr:to>
    <xdr:pic>
      <xdr:nvPicPr>
        <xdr:cNvPr id="32" name="Picture 31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2468" y="4183194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164155</xdr:colOff>
      <xdr:row>16</xdr:row>
      <xdr:rowOff>19408</xdr:rowOff>
    </xdr:from>
    <xdr:to>
      <xdr:col>6</xdr:col>
      <xdr:colOff>983304</xdr:colOff>
      <xdr:row>16</xdr:row>
      <xdr:rowOff>914042</xdr:rowOff>
    </xdr:to>
    <xdr:pic>
      <xdr:nvPicPr>
        <xdr:cNvPr id="33" name="Picture 32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226" y="6142622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185556</xdr:colOff>
      <xdr:row>16</xdr:row>
      <xdr:rowOff>19408</xdr:rowOff>
    </xdr:from>
    <xdr:to>
      <xdr:col>7</xdr:col>
      <xdr:colOff>1004705</xdr:colOff>
      <xdr:row>16</xdr:row>
      <xdr:rowOff>914042</xdr:rowOff>
    </xdr:to>
    <xdr:pic>
      <xdr:nvPicPr>
        <xdr:cNvPr id="34" name="Picture 33" descr="http://cms.dsc.com/media/products/thumbs/l_HS2LC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9627" y="6142622"/>
          <a:ext cx="819149" cy="894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206957</xdr:colOff>
      <xdr:row>16</xdr:row>
      <xdr:rowOff>161925</xdr:rowOff>
    </xdr:from>
    <xdr:to>
      <xdr:col>8</xdr:col>
      <xdr:colOff>993538</xdr:colOff>
      <xdr:row>16</xdr:row>
      <xdr:rowOff>771525</xdr:rowOff>
    </xdr:to>
    <xdr:pic>
      <xdr:nvPicPr>
        <xdr:cNvPr id="36" name="Picture 35" descr="http://cms.dsc.com/media/products/thumbs/l_HS2TCHP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4028" y="6285139"/>
          <a:ext cx="78658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195787</xdr:colOff>
      <xdr:row>16</xdr:row>
      <xdr:rowOff>161925</xdr:rowOff>
    </xdr:from>
    <xdr:to>
      <xdr:col>9</xdr:col>
      <xdr:colOff>982368</xdr:colOff>
      <xdr:row>16</xdr:row>
      <xdr:rowOff>771525</xdr:rowOff>
    </xdr:to>
    <xdr:pic>
      <xdr:nvPicPr>
        <xdr:cNvPr id="37" name="Picture 36" descr="http://cms.dsc.com/media/documents/thumbnails/hs2tchp/large/hs2tchp-black-eng-r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5858" y="6285139"/>
          <a:ext cx="78658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152400</xdr:colOff>
      <xdr:row>16</xdr:row>
      <xdr:rowOff>95250</xdr:rowOff>
    </xdr:from>
    <xdr:to>
      <xdr:col>11</xdr:col>
      <xdr:colOff>904875</xdr:colOff>
      <xdr:row>16</xdr:row>
      <xdr:rowOff>847725</xdr:rowOff>
    </xdr:to>
    <xdr:pic>
      <xdr:nvPicPr>
        <xdr:cNvPr id="44" name="Picture 43" descr="GE 1138TN-10PKG Surface Mount Magnetic Contacts, 10-Pk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4095750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292303</xdr:colOff>
      <xdr:row>10</xdr:row>
      <xdr:rowOff>15346</xdr:rowOff>
    </xdr:from>
    <xdr:to>
      <xdr:col>2</xdr:col>
      <xdr:colOff>884969</xdr:colOff>
      <xdr:row>10</xdr:row>
      <xdr:rowOff>946679</xdr:rowOff>
    </xdr:to>
    <xdr:pic>
      <xdr:nvPicPr>
        <xdr:cNvPr id="38" name="Picture 37" descr="PG4945- - Brown - Centered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196" y="2355775"/>
          <a:ext cx="592666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161914</xdr:colOff>
      <xdr:row>10</xdr:row>
      <xdr:rowOff>84829</xdr:rowOff>
    </xdr:from>
    <xdr:to>
      <xdr:col>4</xdr:col>
      <xdr:colOff>1029744</xdr:colOff>
      <xdr:row>10</xdr:row>
      <xdr:rowOff>877196</xdr:rowOff>
    </xdr:to>
    <xdr:pic>
      <xdr:nvPicPr>
        <xdr:cNvPr id="39" name="Picture 38" descr="PG9975 - BR - facing right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985" y="2561329"/>
          <a:ext cx="867830" cy="792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99585</xdr:colOff>
      <xdr:row>4</xdr:row>
      <xdr:rowOff>28840</xdr:rowOff>
    </xdr:from>
    <xdr:to>
      <xdr:col>11</xdr:col>
      <xdr:colOff>1086456</xdr:colOff>
      <xdr:row>4</xdr:row>
      <xdr:rowOff>928423</xdr:rowOff>
    </xdr:to>
    <xdr:pic>
      <xdr:nvPicPr>
        <xdr:cNvPr id="45" name="Picture 44" descr="http://cms.dsc.com/media/products/thumbs/l_PG9929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5656" y="600340"/>
          <a:ext cx="986871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171831</xdr:colOff>
      <xdr:row>4</xdr:row>
      <xdr:rowOff>28840</xdr:rowOff>
    </xdr:from>
    <xdr:to>
      <xdr:col>12</xdr:col>
      <xdr:colOff>1007199</xdr:colOff>
      <xdr:row>4</xdr:row>
      <xdr:rowOff>928423</xdr:rowOff>
    </xdr:to>
    <xdr:pic>
      <xdr:nvPicPr>
        <xdr:cNvPr id="46" name="Picture 45" descr="http://cms.dsc.com/media/products/thumbs/l_PG9939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0902" y="600340"/>
          <a:ext cx="835368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125838</xdr:colOff>
      <xdr:row>4</xdr:row>
      <xdr:rowOff>108215</xdr:rowOff>
    </xdr:from>
    <xdr:to>
      <xdr:col>13</xdr:col>
      <xdr:colOff>1052201</xdr:colOff>
      <xdr:row>4</xdr:row>
      <xdr:rowOff>849048</xdr:rowOff>
    </xdr:to>
    <xdr:pic>
      <xdr:nvPicPr>
        <xdr:cNvPr id="47" name="Picture 46" descr="http://cms.dsc.com/media/products/thumbs/l_PG9949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7909" y="679715"/>
          <a:ext cx="926363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154212</xdr:colOff>
      <xdr:row>4</xdr:row>
      <xdr:rowOff>92340</xdr:rowOff>
    </xdr:from>
    <xdr:to>
      <xdr:col>14</xdr:col>
      <xdr:colOff>1019841</xdr:colOff>
      <xdr:row>4</xdr:row>
      <xdr:rowOff>864923</xdr:rowOff>
    </xdr:to>
    <xdr:pic>
      <xdr:nvPicPr>
        <xdr:cNvPr id="49" name="Picture 48" descr="http://cms.dsc.com/media/products/thumbs/l_PG9938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9283" y="663840"/>
          <a:ext cx="865629" cy="772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148166</xdr:colOff>
      <xdr:row>4</xdr:row>
      <xdr:rowOff>21166</xdr:rowOff>
    </xdr:from>
    <xdr:to>
      <xdr:col>1</xdr:col>
      <xdr:colOff>1060861</xdr:colOff>
      <xdr:row>4</xdr:row>
      <xdr:rowOff>931333</xdr:rowOff>
    </xdr:to>
    <xdr:pic>
      <xdr:nvPicPr>
        <xdr:cNvPr id="50" name="Picture 49" descr="http://cms.dsc.com/media/products/thumbs/l_IS214_-_Alarm.com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66" y="745066"/>
          <a:ext cx="912695" cy="910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38100</xdr:colOff>
      <xdr:row>4</xdr:row>
      <xdr:rowOff>0</xdr:rowOff>
    </xdr:from>
    <xdr:to>
      <xdr:col>10</xdr:col>
      <xdr:colOff>1100488</xdr:colOff>
      <xdr:row>5</xdr:row>
      <xdr:rowOff>38100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359900" y="723900"/>
          <a:ext cx="2205388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8</xdr:row>
      <xdr:rowOff>66675</xdr:rowOff>
    </xdr:from>
    <xdr:to>
      <xdr:col>10</xdr:col>
      <xdr:colOff>268713</xdr:colOff>
      <xdr:row>16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1419225"/>
          <a:ext cx="2078463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8</xdr:row>
      <xdr:rowOff>209550</xdr:rowOff>
    </xdr:from>
    <xdr:to>
      <xdr:col>10</xdr:col>
      <xdr:colOff>259188</xdr:colOff>
      <xdr:row>16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076325"/>
          <a:ext cx="2078463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sc.com/index.php?n=Products&amp;o=view&amp;id=2469" TargetMode="External"/><Relationship Id="rId18" Type="http://schemas.openxmlformats.org/officeDocument/2006/relationships/hyperlink" Target="http://dsc.com/index.php?n=Products&amp;o=view&amp;id=2476" TargetMode="External"/><Relationship Id="rId26" Type="http://schemas.openxmlformats.org/officeDocument/2006/relationships/hyperlink" Target="http://dsc.com/index.php?n=Products&amp;o=view&amp;id=2445" TargetMode="External"/><Relationship Id="rId3" Type="http://schemas.openxmlformats.org/officeDocument/2006/relationships/hyperlink" Target="http://www.dsc.com/index.php?n=Products&amp;o=view&amp;id=2471" TargetMode="External"/><Relationship Id="rId21" Type="http://schemas.openxmlformats.org/officeDocument/2006/relationships/hyperlink" Target="http://dsc.com/index.php?n=Products&amp;o=view&amp;id=2480" TargetMode="External"/><Relationship Id="rId34" Type="http://schemas.openxmlformats.org/officeDocument/2006/relationships/hyperlink" Target="http://dsc.com/index.php?n=Products&amp;o=view&amp;id=2553" TargetMode="External"/><Relationship Id="rId7" Type="http://schemas.openxmlformats.org/officeDocument/2006/relationships/hyperlink" Target="http://www.dsc.com/index.php?n=Products&amp;o=view&amp;id=2475" TargetMode="External"/><Relationship Id="rId12" Type="http://schemas.openxmlformats.org/officeDocument/2006/relationships/hyperlink" Target="http://www.dsc.com/index.php?n=Products&amp;o=view&amp;id=2464" TargetMode="External"/><Relationship Id="rId17" Type="http://schemas.openxmlformats.org/officeDocument/2006/relationships/hyperlink" Target="http://dsc.com/index.php?n=Products&amp;o=view&amp;id=2477" TargetMode="External"/><Relationship Id="rId25" Type="http://schemas.openxmlformats.org/officeDocument/2006/relationships/hyperlink" Target="http://dsc.com/index.php?n=Products&amp;o=view&amp;id=2483" TargetMode="External"/><Relationship Id="rId33" Type="http://schemas.openxmlformats.org/officeDocument/2006/relationships/hyperlink" Target="http://dsc.com/index.php?n=Products&amp;o=view&amp;id=2553" TargetMode="External"/><Relationship Id="rId2" Type="http://schemas.openxmlformats.org/officeDocument/2006/relationships/hyperlink" Target="http://www.dsc.com/index.php?n=Products&amp;o=view&amp;id=2470" TargetMode="External"/><Relationship Id="rId16" Type="http://schemas.openxmlformats.org/officeDocument/2006/relationships/hyperlink" Target="http://dsc.com/index.php?n=Products&amp;o=view&amp;id=2468" TargetMode="External"/><Relationship Id="rId20" Type="http://schemas.openxmlformats.org/officeDocument/2006/relationships/hyperlink" Target="http://dsc.com/index.php?n=Products&amp;o=view&amp;id=2479" TargetMode="External"/><Relationship Id="rId29" Type="http://schemas.openxmlformats.org/officeDocument/2006/relationships/hyperlink" Target="http://dsc.com/index.php?n=Products&amp;o=view&amp;id=2448" TargetMode="External"/><Relationship Id="rId1" Type="http://schemas.openxmlformats.org/officeDocument/2006/relationships/hyperlink" Target="http://dsc.com/index.php?n=Products&amp;o=view&amp;id=2493" TargetMode="External"/><Relationship Id="rId6" Type="http://schemas.openxmlformats.org/officeDocument/2006/relationships/hyperlink" Target="http://www.dsc.com/index.php?n=Products&amp;o=view&amp;id=2474" TargetMode="External"/><Relationship Id="rId11" Type="http://schemas.openxmlformats.org/officeDocument/2006/relationships/hyperlink" Target="http://www.dsc.com/index.php?n=Products&amp;o=view&amp;id=2465" TargetMode="External"/><Relationship Id="rId24" Type="http://schemas.openxmlformats.org/officeDocument/2006/relationships/hyperlink" Target="http://dsc.com/index.php?n=Products&amp;o=view&amp;id=2481" TargetMode="External"/><Relationship Id="rId32" Type="http://schemas.openxmlformats.org/officeDocument/2006/relationships/hyperlink" Target="http://dsc.com/index.php?n=Products&amp;o=view&amp;id=2455" TargetMode="External"/><Relationship Id="rId5" Type="http://schemas.openxmlformats.org/officeDocument/2006/relationships/hyperlink" Target="http://www.dsc.com/index.php?n=Products&amp;o=view&amp;id=2473" TargetMode="External"/><Relationship Id="rId15" Type="http://schemas.openxmlformats.org/officeDocument/2006/relationships/hyperlink" Target="http://dsc.com/index.php?n=Products&amp;o=view&amp;id=2468" TargetMode="External"/><Relationship Id="rId23" Type="http://schemas.openxmlformats.org/officeDocument/2006/relationships/hyperlink" Target="http://dsc.com/index.php?n=Products&amp;o=view&amp;id=2484" TargetMode="External"/><Relationship Id="rId28" Type="http://schemas.openxmlformats.org/officeDocument/2006/relationships/hyperlink" Target="http://dsc.com/index.php?n=Products&amp;o=view&amp;id=2447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://www.dsc.com/index.php?n=Products&amp;o=view&amp;id=2466" TargetMode="External"/><Relationship Id="rId19" Type="http://schemas.openxmlformats.org/officeDocument/2006/relationships/hyperlink" Target="http://dsc.com/index.php?n=Products&amp;o=view&amp;id=2478" TargetMode="External"/><Relationship Id="rId31" Type="http://schemas.openxmlformats.org/officeDocument/2006/relationships/hyperlink" Target="http://dsc.com/index.php?n=Products&amp;o=view&amp;id=2456" TargetMode="External"/><Relationship Id="rId4" Type="http://schemas.openxmlformats.org/officeDocument/2006/relationships/hyperlink" Target="http://www.dsc.com/index.php?n=Products&amp;o=view&amp;id=2472" TargetMode="External"/><Relationship Id="rId9" Type="http://schemas.openxmlformats.org/officeDocument/2006/relationships/hyperlink" Target="http://www.dsc.com/index.php?n=Products&amp;o=view&amp;id=2467" TargetMode="External"/><Relationship Id="rId14" Type="http://schemas.openxmlformats.org/officeDocument/2006/relationships/hyperlink" Target="http://dsc.com/index.php?n=Products&amp;o=view&amp;id=2469" TargetMode="External"/><Relationship Id="rId22" Type="http://schemas.openxmlformats.org/officeDocument/2006/relationships/hyperlink" Target="http://dsc.com/index.php?n=Products&amp;o=view&amp;id=2482" TargetMode="External"/><Relationship Id="rId27" Type="http://schemas.openxmlformats.org/officeDocument/2006/relationships/hyperlink" Target="http://dsc.com/index.php?n=Products&amp;o=view&amp;id=2446" TargetMode="External"/><Relationship Id="rId30" Type="http://schemas.openxmlformats.org/officeDocument/2006/relationships/hyperlink" Target="http://dsc.com/index.php?n=Products&amp;o=view&amp;id=2454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dsc.com/index.php?n=Products&amp;o=view&amp;id=256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P54"/>
  <sheetViews>
    <sheetView showGridLines="0" showRowColHeaders="0" topLeftCell="A25" zoomScale="75" zoomScaleNormal="75" workbookViewId="0">
      <selection activeCell="F40" sqref="F40:G40"/>
    </sheetView>
  </sheetViews>
  <sheetFormatPr defaultColWidth="9.1796875" defaultRowHeight="14.5" x14ac:dyDescent="0.35"/>
  <cols>
    <col min="1" max="1" width="2" style="37" customWidth="1"/>
    <col min="2" max="2" width="17.7265625" style="37" customWidth="1"/>
    <col min="3" max="14" width="17.1796875" style="37" customWidth="1"/>
    <col min="15" max="15" width="18.1796875" style="37" customWidth="1"/>
    <col min="16" max="16384" width="9.1796875" style="37"/>
  </cols>
  <sheetData>
    <row r="2" spans="2:16" ht="12" customHeight="1" x14ac:dyDescent="0.35"/>
    <row r="3" spans="2:16" x14ac:dyDescent="0.35">
      <c r="B3" s="135" t="s">
        <v>232</v>
      </c>
      <c r="C3" s="119"/>
      <c r="D3" s="119"/>
      <c r="E3" s="119"/>
      <c r="F3" s="119"/>
      <c r="G3" s="119"/>
      <c r="H3" s="119"/>
      <c r="I3" s="120"/>
      <c r="J3" s="73"/>
      <c r="K3" s="73"/>
      <c r="L3" s="135" t="s">
        <v>233</v>
      </c>
      <c r="M3" s="119"/>
      <c r="N3" s="119"/>
      <c r="O3" s="120"/>
    </row>
    <row r="4" spans="2:16" x14ac:dyDescent="0.35">
      <c r="B4" s="85" t="s">
        <v>222</v>
      </c>
      <c r="C4" s="86" t="s">
        <v>0</v>
      </c>
      <c r="D4" s="86" t="s">
        <v>1</v>
      </c>
      <c r="E4" s="86" t="s">
        <v>2</v>
      </c>
      <c r="F4" s="86" t="s">
        <v>3</v>
      </c>
      <c r="G4" s="86" t="s">
        <v>4</v>
      </c>
      <c r="H4" s="86" t="s">
        <v>5</v>
      </c>
      <c r="I4" s="86" t="s">
        <v>65</v>
      </c>
      <c r="L4" s="85" t="s">
        <v>178</v>
      </c>
      <c r="M4" s="86" t="s">
        <v>184</v>
      </c>
      <c r="N4" s="86" t="s">
        <v>190</v>
      </c>
      <c r="O4" s="86" t="s">
        <v>182</v>
      </c>
    </row>
    <row r="5" spans="2:16" ht="75" customHeight="1" x14ac:dyDescent="0.35">
      <c r="B5" s="58"/>
      <c r="C5" s="72"/>
      <c r="D5" s="72"/>
      <c r="E5" s="72"/>
      <c r="F5" s="72"/>
      <c r="G5" s="72"/>
      <c r="H5" s="72"/>
      <c r="I5" s="72"/>
      <c r="L5" s="58"/>
      <c r="M5" s="72"/>
      <c r="N5" s="72"/>
      <c r="O5" s="72"/>
    </row>
    <row r="6" spans="2:16" x14ac:dyDescent="0.35">
      <c r="B6" s="57">
        <v>0</v>
      </c>
      <c r="C6" s="65">
        <v>5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L6" s="57">
        <v>0</v>
      </c>
      <c r="M6" s="65">
        <v>0</v>
      </c>
      <c r="N6" s="65">
        <v>0</v>
      </c>
      <c r="O6" s="65">
        <v>0</v>
      </c>
    </row>
    <row r="7" spans="2:16" x14ac:dyDescent="0.35">
      <c r="B7" s="60"/>
      <c r="C7" s="79"/>
      <c r="D7" s="79"/>
      <c r="E7" s="79"/>
      <c r="F7" s="79"/>
      <c r="G7" s="79"/>
      <c r="H7" s="79"/>
      <c r="I7" s="80"/>
      <c r="L7" s="60"/>
      <c r="M7" s="61"/>
      <c r="N7" s="61" t="s">
        <v>63</v>
      </c>
      <c r="O7" s="62">
        <f>IF(SUM(L6:O6)&gt;32, "Error", SUM(L6:O6))</f>
        <v>0</v>
      </c>
    </row>
    <row r="8" spans="2:16" ht="7.5" customHeight="1" x14ac:dyDescent="0.35">
      <c r="B8" s="38"/>
      <c r="C8" s="39"/>
      <c r="D8" s="39"/>
      <c r="E8" s="39"/>
      <c r="F8" s="39"/>
      <c r="G8" s="39"/>
      <c r="H8" s="39"/>
      <c r="I8" s="38"/>
      <c r="J8" s="38"/>
      <c r="K8" s="38"/>
      <c r="L8" s="38"/>
      <c r="M8" s="39"/>
    </row>
    <row r="9" spans="2:16" x14ac:dyDescent="0.35">
      <c r="B9" s="135" t="s">
        <v>22</v>
      </c>
      <c r="C9" s="119"/>
      <c r="D9" s="119"/>
      <c r="E9" s="119"/>
      <c r="F9" s="119"/>
      <c r="G9" s="84" t="s">
        <v>23</v>
      </c>
      <c r="H9" s="135" t="s">
        <v>24</v>
      </c>
      <c r="I9" s="119"/>
      <c r="J9" s="120"/>
      <c r="K9" s="84" t="s">
        <v>25</v>
      </c>
      <c r="L9" s="84" t="s">
        <v>26</v>
      </c>
      <c r="N9" s="135" t="s">
        <v>27</v>
      </c>
      <c r="O9" s="120"/>
    </row>
    <row r="10" spans="2:16" x14ac:dyDescent="0.35">
      <c r="B10" s="87" t="s">
        <v>6</v>
      </c>
      <c r="C10" s="88" t="s">
        <v>188</v>
      </c>
      <c r="D10" s="88" t="s">
        <v>7</v>
      </c>
      <c r="E10" s="88" t="s">
        <v>194</v>
      </c>
      <c r="F10" s="89" t="s">
        <v>8</v>
      </c>
      <c r="G10" s="87" t="s">
        <v>9</v>
      </c>
      <c r="H10" s="87" t="s">
        <v>10</v>
      </c>
      <c r="I10" s="88" t="s">
        <v>11</v>
      </c>
      <c r="J10" s="88" t="s">
        <v>12</v>
      </c>
      <c r="K10" s="87" t="s">
        <v>13</v>
      </c>
      <c r="L10" s="87" t="s">
        <v>16</v>
      </c>
      <c r="N10" s="87" t="s">
        <v>14</v>
      </c>
      <c r="O10" s="87" t="s">
        <v>15</v>
      </c>
    </row>
    <row r="11" spans="2:16" ht="75" customHeight="1" x14ac:dyDescent="0.35">
      <c r="B11" s="56"/>
      <c r="C11" s="72"/>
      <c r="D11" s="64"/>
      <c r="E11" s="72"/>
      <c r="F11" s="39"/>
      <c r="G11" s="56"/>
      <c r="H11" s="56"/>
      <c r="I11" s="64"/>
      <c r="J11" s="64"/>
      <c r="K11" s="56"/>
      <c r="L11" s="56"/>
      <c r="N11" s="56"/>
      <c r="O11" s="56"/>
    </row>
    <row r="12" spans="2:16" x14ac:dyDescent="0.35">
      <c r="B12" s="57">
        <v>9</v>
      </c>
      <c r="C12" s="65">
        <v>0</v>
      </c>
      <c r="D12" s="65">
        <v>0</v>
      </c>
      <c r="E12" s="65">
        <v>0</v>
      </c>
      <c r="F12" s="71">
        <v>0</v>
      </c>
      <c r="G12" s="57">
        <v>0</v>
      </c>
      <c r="H12" s="57">
        <v>0</v>
      </c>
      <c r="I12" s="65">
        <v>0</v>
      </c>
      <c r="J12" s="65">
        <v>0</v>
      </c>
      <c r="K12" s="57">
        <v>0</v>
      </c>
      <c r="L12" s="57">
        <v>0</v>
      </c>
      <c r="N12" s="57">
        <v>0</v>
      </c>
      <c r="O12" s="57">
        <v>0</v>
      </c>
    </row>
    <row r="13" spans="2:16" ht="15.75" customHeight="1" x14ac:dyDescent="0.35">
      <c r="B13" s="70"/>
      <c r="C13" s="59"/>
      <c r="D13" s="59"/>
      <c r="E13" s="59"/>
      <c r="F13" s="59"/>
      <c r="G13" s="59"/>
      <c r="H13" s="59"/>
      <c r="I13" s="59"/>
      <c r="J13" s="61"/>
      <c r="K13" s="61" t="s">
        <v>63</v>
      </c>
      <c r="L13" s="62">
        <f>IF((D6+I6)&gt;10,"Error",IF(SUM(B12:L12,O6,B6:I6)&gt;128,"Error",SUM(B12:L12,O6,B6:I6)))</f>
        <v>14</v>
      </c>
      <c r="N13" s="60" t="s">
        <v>63</v>
      </c>
      <c r="O13" s="62">
        <f>IF((N12+O12)&gt;16, "Error", N12+O12)</f>
        <v>0</v>
      </c>
    </row>
    <row r="14" spans="2:16" ht="7.5" customHeight="1" x14ac:dyDescent="0.35">
      <c r="B14" s="38"/>
      <c r="C14" s="38"/>
      <c r="D14" s="38"/>
      <c r="E14" s="38"/>
      <c r="F14" s="38"/>
      <c r="G14" s="38"/>
      <c r="H14" s="42"/>
      <c r="I14" s="42"/>
      <c r="J14" s="42"/>
      <c r="K14" s="40"/>
      <c r="L14" s="40"/>
      <c r="M14" s="40"/>
      <c r="N14" s="40"/>
      <c r="O14" s="40"/>
      <c r="P14" s="40"/>
    </row>
    <row r="15" spans="2:16" ht="15" customHeight="1" x14ac:dyDescent="0.35">
      <c r="B15" s="139" t="s">
        <v>49</v>
      </c>
      <c r="C15" s="139"/>
      <c r="D15" s="139" t="s">
        <v>234</v>
      </c>
      <c r="E15" s="139"/>
      <c r="F15" s="139" t="s">
        <v>48</v>
      </c>
      <c r="G15" s="139"/>
      <c r="H15" s="139"/>
      <c r="I15" s="139" t="s">
        <v>50</v>
      </c>
      <c r="J15" s="139"/>
      <c r="K15" s="41"/>
      <c r="L15" s="140" t="s">
        <v>18</v>
      </c>
      <c r="M15" s="141"/>
      <c r="N15" s="144" t="s">
        <v>257</v>
      </c>
      <c r="O15" s="141"/>
    </row>
    <row r="16" spans="2:16" ht="15" customHeight="1" x14ac:dyDescent="0.35">
      <c r="B16" s="90" t="s">
        <v>29</v>
      </c>
      <c r="C16" s="91" t="s">
        <v>30</v>
      </c>
      <c r="D16" s="91" t="s">
        <v>31</v>
      </c>
      <c r="E16" s="91" t="s">
        <v>32</v>
      </c>
      <c r="F16" s="91" t="s">
        <v>33</v>
      </c>
      <c r="G16" s="91" t="s">
        <v>34</v>
      </c>
      <c r="H16" s="91" t="s">
        <v>35</v>
      </c>
      <c r="I16" s="91" t="s">
        <v>36</v>
      </c>
      <c r="J16" s="91" t="s">
        <v>37</v>
      </c>
      <c r="K16" s="42"/>
      <c r="L16" s="142"/>
      <c r="M16" s="143"/>
      <c r="N16" s="145"/>
      <c r="O16" s="143"/>
    </row>
    <row r="17" spans="1:16" ht="75" customHeight="1" x14ac:dyDescent="0.55000000000000004">
      <c r="B17" s="56"/>
      <c r="C17" s="64"/>
      <c r="D17" s="64"/>
      <c r="E17" s="64"/>
      <c r="F17" s="64"/>
      <c r="G17" s="64"/>
      <c r="H17" s="64"/>
      <c r="I17" s="64"/>
      <c r="J17" s="64"/>
      <c r="K17" s="41"/>
      <c r="L17" s="63"/>
      <c r="M17" s="64"/>
      <c r="N17" s="146" t="s">
        <v>66</v>
      </c>
      <c r="O17" s="147"/>
    </row>
    <row r="18" spans="1:16" ht="15" customHeight="1" x14ac:dyDescent="0.35">
      <c r="B18" s="57">
        <v>0</v>
      </c>
      <c r="C18" s="65">
        <v>0</v>
      </c>
      <c r="D18" s="65">
        <v>1</v>
      </c>
      <c r="E18" s="65">
        <v>0</v>
      </c>
      <c r="F18" s="65">
        <v>0</v>
      </c>
      <c r="G18" s="65">
        <v>0</v>
      </c>
      <c r="H18" s="57">
        <v>0</v>
      </c>
      <c r="I18" s="65">
        <v>2</v>
      </c>
      <c r="J18" s="65">
        <v>0</v>
      </c>
      <c r="K18" s="40"/>
      <c r="L18" s="136">
        <v>0</v>
      </c>
      <c r="M18" s="138"/>
      <c r="N18" s="137">
        <v>0</v>
      </c>
      <c r="O18" s="138"/>
    </row>
    <row r="19" spans="1:16" x14ac:dyDescent="0.35">
      <c r="A19" s="38"/>
      <c r="B19" s="60"/>
      <c r="C19" s="61"/>
      <c r="D19" s="66">
        <f>IF(SUM(D18:E18)=0, 1, IF(SUM(D18:E18)=1, 2, 3))</f>
        <v>2</v>
      </c>
      <c r="E19" s="61"/>
      <c r="F19" s="61"/>
      <c r="G19" s="61"/>
      <c r="H19" s="61"/>
      <c r="I19" s="61" t="s">
        <v>63</v>
      </c>
      <c r="J19" s="67">
        <f>IF(D19=3,"Error",IF(J20=0,"Add a Keypad",IF(SUM(B18:J18)&gt;16,"Error +16",SUM(B18:J18))))</f>
        <v>3</v>
      </c>
      <c r="P19" s="40"/>
    </row>
    <row r="20" spans="1:16" ht="7.5" customHeight="1" x14ac:dyDescent="0.35">
      <c r="J20" s="43">
        <f>IF(SUM(B18:J18)&gt;16, "Error", SUM(B18:J18))</f>
        <v>3</v>
      </c>
      <c r="K20" s="40"/>
      <c r="L20" s="40"/>
      <c r="M20" s="40"/>
      <c r="N20" s="40"/>
      <c r="O20" s="40"/>
      <c r="P20" s="40"/>
    </row>
    <row r="21" spans="1:16" ht="30" customHeight="1" x14ac:dyDescent="0.35">
      <c r="B21" s="148" t="s">
        <v>28</v>
      </c>
      <c r="C21" s="149"/>
      <c r="D21" s="148" t="s">
        <v>17</v>
      </c>
      <c r="E21" s="149"/>
      <c r="F21" s="148" t="s">
        <v>38</v>
      </c>
      <c r="G21" s="149"/>
      <c r="H21" s="148" t="s">
        <v>46</v>
      </c>
      <c r="I21" s="150"/>
      <c r="L21" s="40"/>
      <c r="M21" s="40"/>
      <c r="O21" s="40"/>
      <c r="P21" s="40"/>
    </row>
    <row r="22" spans="1:16" x14ac:dyDescent="0.35">
      <c r="B22" s="136">
        <v>0</v>
      </c>
      <c r="C22" s="137"/>
      <c r="D22" s="136">
        <v>2</v>
      </c>
      <c r="E22" s="137"/>
      <c r="F22" s="136">
        <v>1</v>
      </c>
      <c r="G22" s="137"/>
      <c r="H22" s="136">
        <v>1</v>
      </c>
      <c r="I22" s="138"/>
      <c r="L22" s="40"/>
      <c r="M22" s="40"/>
      <c r="N22" s="48"/>
      <c r="O22" s="40"/>
      <c r="P22" s="40"/>
    </row>
    <row r="23" spans="1:16" ht="8.25" customHeight="1" x14ac:dyDescent="0.35">
      <c r="B23" s="115"/>
      <c r="L23" s="40"/>
      <c r="M23" s="40"/>
      <c r="N23" s="40"/>
      <c r="O23" s="40"/>
      <c r="P23" s="40"/>
    </row>
    <row r="24" spans="1:16" ht="15" customHeight="1" x14ac:dyDescent="0.35">
      <c r="B24" s="135" t="s">
        <v>19</v>
      </c>
      <c r="C24" s="120"/>
      <c r="D24" s="135" t="s">
        <v>20</v>
      </c>
      <c r="E24" s="120"/>
      <c r="F24" s="135" t="s">
        <v>214</v>
      </c>
      <c r="G24" s="120"/>
      <c r="H24" s="135" t="s">
        <v>67</v>
      </c>
      <c r="I24" s="120"/>
      <c r="J24" s="119" t="s">
        <v>263</v>
      </c>
      <c r="K24" s="120"/>
      <c r="L24" s="119" t="s">
        <v>43</v>
      </c>
      <c r="M24" s="120"/>
      <c r="N24" s="47"/>
      <c r="O24" s="40"/>
      <c r="P24" s="40"/>
    </row>
    <row r="25" spans="1:16" ht="30" customHeight="1" x14ac:dyDescent="0.35">
      <c r="B25" s="129">
        <f>IF(L18&lt;=8,0,ROUNDUP((L18-8)/8,0))</f>
        <v>0</v>
      </c>
      <c r="C25" s="130"/>
      <c r="D25" s="129">
        <f>IF((L18+L13+O6)&gt;128, "Error", (L18+L13+O6))</f>
        <v>14</v>
      </c>
      <c r="E25" s="130"/>
      <c r="F25" s="129">
        <f>+SUM(L6:O6)</f>
        <v>0</v>
      </c>
      <c r="G25" s="130"/>
      <c r="H25" s="129">
        <f>+'Quote Suggested Dealer Price'!E35+'Quote Suggested Dealer Price'!E37</f>
        <v>1</v>
      </c>
      <c r="I25" s="130"/>
      <c r="J25" s="155" t="str">
        <f>IF((L13+O13+O7-B6)&gt;0, (IF(SUM(D18:E18)=0, "You will need a HSM2HOST9", IF(SUM(D18:E18)=1, "No transceiver required.", "You cannot have more than 1 RF keypad per NEO"))), "Since you don't have wireless devices no HSM2HOST is needed")</f>
        <v>No transceiver required.</v>
      </c>
      <c r="K25" s="156"/>
      <c r="L25" s="121" t="str">
        <f>IF(C36=1, "HS2016", IF(C36=2, "HS2032", IF(C36=3, "HS2064", IF(C36=4, "HS2128", "One or more values exceed NEO specifications. See Alarts"))))</f>
        <v>HS2016</v>
      </c>
      <c r="M25" s="122"/>
      <c r="N25" s="151"/>
      <c r="O25" s="151"/>
      <c r="P25" s="40"/>
    </row>
    <row r="26" spans="1:16" ht="18.5" hidden="1" x14ac:dyDescent="0.35">
      <c r="B26" s="81"/>
      <c r="C26" s="82"/>
      <c r="D26" s="83"/>
      <c r="E26" s="82"/>
      <c r="F26" s="83"/>
      <c r="G26" s="82"/>
      <c r="H26" s="83"/>
      <c r="I26" s="82"/>
      <c r="J26" s="157"/>
      <c r="K26" s="158"/>
      <c r="L26" s="92"/>
      <c r="M26" s="93"/>
      <c r="N26" s="40"/>
      <c r="O26" s="40"/>
      <c r="P26" s="40"/>
    </row>
    <row r="27" spans="1:16" hidden="1" x14ac:dyDescent="0.35">
      <c r="J27" s="50"/>
      <c r="K27" s="51"/>
      <c r="N27" s="40"/>
      <c r="O27" s="40"/>
      <c r="P27" s="40"/>
    </row>
    <row r="28" spans="1:16" hidden="1" x14ac:dyDescent="0.35">
      <c r="C28" s="37" t="s">
        <v>21</v>
      </c>
      <c r="J28" s="50"/>
      <c r="K28" s="51"/>
      <c r="N28" s="40"/>
      <c r="O28" s="40"/>
      <c r="P28" s="40"/>
    </row>
    <row r="29" spans="1:16" hidden="1" x14ac:dyDescent="0.35">
      <c r="C29" s="37">
        <f>IF(D25&lt;=16, 1, IF(D25&lt;=32, 2, IF(D25&lt;=64, 3, IF(D25&lt;=128, 4, 5))))</f>
        <v>1</v>
      </c>
      <c r="D29" s="37" t="s">
        <v>39</v>
      </c>
      <c r="J29" s="50"/>
      <c r="K29" s="51"/>
      <c r="N29" s="40"/>
      <c r="O29" s="40"/>
      <c r="P29" s="40"/>
    </row>
    <row r="30" spans="1:16" hidden="1" x14ac:dyDescent="0.35">
      <c r="C30" s="37">
        <f>IF(D22&lt;=2,1,IF(D22&lt;=4,2,IF(D22&lt;=8,3,5)))</f>
        <v>1</v>
      </c>
      <c r="D30" s="37" t="s">
        <v>40</v>
      </c>
      <c r="J30" s="50"/>
      <c r="K30" s="51"/>
      <c r="N30" s="40"/>
      <c r="O30" s="40"/>
      <c r="P30" s="40"/>
    </row>
    <row r="31" spans="1:16" hidden="1" x14ac:dyDescent="0.35">
      <c r="C31" s="37">
        <f>IF(J20&lt;=8,1,IF(J20&lt;=16,4,5))</f>
        <v>1</v>
      </c>
      <c r="D31" s="37" t="s">
        <v>41</v>
      </c>
      <c r="J31" s="50"/>
      <c r="K31" s="51"/>
      <c r="N31" s="40"/>
      <c r="O31" s="40"/>
      <c r="P31" s="40"/>
    </row>
    <row r="32" spans="1:16" hidden="1" x14ac:dyDescent="0.35">
      <c r="C32" s="37">
        <f>IF(F22&lt;=48,1,IF(F22&lt;=72,2,IF(F22&lt;=94,3,5)))</f>
        <v>1</v>
      </c>
      <c r="D32" s="37" t="s">
        <v>42</v>
      </c>
      <c r="J32" s="50"/>
      <c r="K32" s="51"/>
      <c r="N32" s="40"/>
      <c r="O32" s="40"/>
      <c r="P32" s="40"/>
    </row>
    <row r="33" spans="2:16" hidden="1" x14ac:dyDescent="0.35">
      <c r="C33" s="37">
        <f>IF(F25&lt;=16,1,IF(F25&lt;=32,2,5))</f>
        <v>1</v>
      </c>
      <c r="D33" s="37" t="s">
        <v>44</v>
      </c>
      <c r="J33" s="50"/>
      <c r="K33" s="51"/>
      <c r="N33" s="40"/>
      <c r="O33" s="40"/>
      <c r="P33" s="40"/>
    </row>
    <row r="34" spans="2:16" hidden="1" x14ac:dyDescent="0.35">
      <c r="C34" s="37">
        <f>IF((N12+O12)&lt;=4,1,IF((N12+O12)&lt;=8,2,IF((N12+O12)&lt;=16,4,5)))</f>
        <v>1</v>
      </c>
      <c r="D34" s="37" t="s">
        <v>45</v>
      </c>
      <c r="J34" s="50"/>
      <c r="K34" s="51"/>
      <c r="N34" s="40"/>
      <c r="O34" s="40"/>
      <c r="P34" s="40"/>
    </row>
    <row r="35" spans="2:16" hidden="1" x14ac:dyDescent="0.35">
      <c r="C35" s="37">
        <f>IF(H22&lt;=4,1,IF(H22&lt;=8,2,5))</f>
        <v>1</v>
      </c>
      <c r="D35" s="37" t="s">
        <v>47</v>
      </c>
      <c r="J35" s="50"/>
      <c r="K35" s="51"/>
      <c r="N35" s="40"/>
      <c r="O35" s="40"/>
      <c r="P35" s="40"/>
    </row>
    <row r="36" spans="2:16" hidden="1" x14ac:dyDescent="0.35">
      <c r="C36" s="37">
        <f>MAX(C29:C35)</f>
        <v>1</v>
      </c>
      <c r="J36" s="52"/>
      <c r="K36" s="53"/>
      <c r="N36" s="40"/>
      <c r="O36" s="40"/>
      <c r="P36" s="40"/>
    </row>
    <row r="37" spans="2:16" x14ac:dyDescent="0.35">
      <c r="J37" s="54"/>
      <c r="K37" s="55"/>
      <c r="L37" s="68" t="s">
        <v>215</v>
      </c>
      <c r="M37" s="69" t="s">
        <v>209</v>
      </c>
      <c r="N37" s="40"/>
      <c r="P37" s="40"/>
    </row>
    <row r="38" spans="2:16" ht="5.25" customHeight="1" x14ac:dyDescent="0.35">
      <c r="I38" s="44"/>
      <c r="J38" s="39"/>
      <c r="L38" s="40"/>
      <c r="M38" s="40"/>
      <c r="N38" s="40"/>
      <c r="O38" s="40"/>
      <c r="P38" s="40"/>
    </row>
    <row r="39" spans="2:16" ht="44.25" customHeight="1" x14ac:dyDescent="0.35">
      <c r="B39" s="152" t="s">
        <v>51</v>
      </c>
      <c r="C39" s="153"/>
      <c r="D39" s="152" t="s">
        <v>258</v>
      </c>
      <c r="E39" s="153"/>
      <c r="F39" s="152" t="s">
        <v>224</v>
      </c>
      <c r="G39" s="154"/>
    </row>
    <row r="40" spans="2:16" x14ac:dyDescent="0.35">
      <c r="B40" s="136" t="s">
        <v>217</v>
      </c>
      <c r="C40" s="137"/>
      <c r="D40" s="136" t="s">
        <v>210</v>
      </c>
      <c r="E40" s="137"/>
      <c r="F40" s="136" t="s">
        <v>209</v>
      </c>
      <c r="G40" s="138"/>
    </row>
    <row r="41" spans="2:16" ht="7.5" customHeight="1" x14ac:dyDescent="0.35">
      <c r="C41" s="45">
        <f>IF(B40=Dropdowns!A2,1,IF(B40=Dropdowns!A3,2,IF(B40=Dropdowns!A4,3,IF(B40=Dropdowns!A5,4,IF(B40=Dropdowns!A6,5,IF(B40=Dropdowns!A7,6,0))))))</f>
        <v>6</v>
      </c>
    </row>
    <row r="42" spans="2:16" ht="15.5" x14ac:dyDescent="0.35">
      <c r="C42" s="131" t="s">
        <v>236</v>
      </c>
      <c r="D42" s="131"/>
      <c r="E42" s="131"/>
      <c r="F42" s="131"/>
      <c r="G42" s="131"/>
      <c r="H42" s="131"/>
      <c r="I42" s="131"/>
      <c r="J42" s="131"/>
      <c r="K42" s="131"/>
      <c r="M42" s="74" t="s">
        <v>261</v>
      </c>
    </row>
    <row r="43" spans="2:16" ht="15.5" x14ac:dyDescent="0.35">
      <c r="B43" s="76" t="s">
        <v>20</v>
      </c>
      <c r="C43" s="123" t="str">
        <f>IF(D25="Error", "Zone count cannot be larger than 128", "")</f>
        <v/>
      </c>
      <c r="D43" s="124"/>
      <c r="E43" s="124"/>
      <c r="F43" s="124"/>
      <c r="G43" s="124"/>
      <c r="H43" s="124"/>
      <c r="I43" s="124"/>
      <c r="J43" s="124"/>
      <c r="K43" s="125"/>
      <c r="M43" s="75" t="s">
        <v>262</v>
      </c>
    </row>
    <row r="44" spans="2:16" ht="15.5" x14ac:dyDescent="0.35">
      <c r="B44" s="77" t="s">
        <v>265</v>
      </c>
      <c r="C44" s="126" t="str">
        <f>IF((D6+I6)&gt;10, "You cannot have more than 10 video verification devices", "")</f>
        <v/>
      </c>
      <c r="D44" s="127"/>
      <c r="E44" s="127"/>
      <c r="F44" s="127"/>
      <c r="G44" s="127"/>
      <c r="H44" s="127"/>
      <c r="I44" s="127"/>
      <c r="J44" s="127"/>
      <c r="K44" s="128"/>
    </row>
    <row r="45" spans="2:16" ht="15.5" x14ac:dyDescent="0.35">
      <c r="B45" s="77" t="s">
        <v>223</v>
      </c>
      <c r="C45" s="126" t="str">
        <f>IF(O7="Error", "You cannot have more than 32 portable devices (keyfobs+panics) per system", "")</f>
        <v/>
      </c>
      <c r="D45" s="127"/>
      <c r="E45" s="127"/>
      <c r="F45" s="127"/>
      <c r="G45" s="127"/>
      <c r="H45" s="127"/>
      <c r="I45" s="127"/>
      <c r="J45" s="127"/>
      <c r="K45" s="128"/>
    </row>
    <row r="46" spans="2:16" ht="15.5" x14ac:dyDescent="0.35">
      <c r="B46" s="77" t="s">
        <v>45</v>
      </c>
      <c r="C46" s="126" t="str">
        <f>IF(O13="Error", "You cannot have more than 16 wireless sirens per system", "")</f>
        <v/>
      </c>
      <c r="D46" s="127"/>
      <c r="E46" s="127"/>
      <c r="F46" s="127"/>
      <c r="G46" s="127"/>
      <c r="H46" s="127"/>
      <c r="I46" s="127"/>
      <c r="J46" s="127"/>
      <c r="K46" s="128"/>
    </row>
    <row r="47" spans="2:16" ht="15.5" x14ac:dyDescent="0.35">
      <c r="B47" s="77" t="s">
        <v>41</v>
      </c>
      <c r="C47" s="126" t="str">
        <f>IF(J19="Add a Keypad", "You will need at least 1 Keypad to operate the system.",  IF(J19="Error", "No more than 1 RF keypad could be installed per system.",  IF(J19="Error +16", "You cannot have more than 16 keypads per system.",  "")))</f>
        <v/>
      </c>
      <c r="D47" s="127"/>
      <c r="E47" s="127"/>
      <c r="F47" s="127"/>
      <c r="G47" s="127"/>
      <c r="H47" s="127"/>
      <c r="I47" s="127"/>
      <c r="J47" s="127"/>
      <c r="K47" s="128"/>
    </row>
    <row r="48" spans="2:16" ht="15.5" x14ac:dyDescent="0.35">
      <c r="B48" s="77" t="s">
        <v>231</v>
      </c>
      <c r="C48" s="109" t="str">
        <f>IF(K11&gt;0,  "If opperating temperature is between -4ºF and 122F (-20ºC and 50ºC) you wont need a probe. Probe range is between -22ºF and 158ºF (-30ºC and 70ºC)", "")</f>
        <v/>
      </c>
      <c r="D48" s="109"/>
      <c r="E48" s="109"/>
      <c r="F48" s="109"/>
      <c r="G48" s="109"/>
      <c r="H48" s="109"/>
      <c r="I48" s="109"/>
      <c r="J48" s="109"/>
      <c r="K48" s="110"/>
    </row>
    <row r="49" spans="2:11" ht="15.5" x14ac:dyDescent="0.35">
      <c r="B49" s="77" t="s">
        <v>225</v>
      </c>
      <c r="C49" s="109" t="s">
        <v>235</v>
      </c>
      <c r="D49" s="109"/>
      <c r="E49" s="109"/>
      <c r="F49" s="109"/>
      <c r="G49" s="109"/>
      <c r="H49" s="109"/>
      <c r="I49" s="109"/>
      <c r="J49" s="109"/>
      <c r="K49" s="110"/>
    </row>
    <row r="50" spans="2:11" ht="15.5" x14ac:dyDescent="0.35">
      <c r="B50" s="77" t="s">
        <v>226</v>
      </c>
      <c r="C50" s="126" t="s">
        <v>237</v>
      </c>
      <c r="D50" s="127"/>
      <c r="E50" s="127"/>
      <c r="F50" s="127"/>
      <c r="G50" s="127"/>
      <c r="H50" s="127"/>
      <c r="I50" s="127"/>
      <c r="J50" s="127"/>
      <c r="K50" s="128"/>
    </row>
    <row r="51" spans="2:11" ht="15.5" x14ac:dyDescent="0.35">
      <c r="B51" s="78" t="s">
        <v>264</v>
      </c>
      <c r="C51" s="132" t="s">
        <v>270</v>
      </c>
      <c r="D51" s="133"/>
      <c r="E51" s="133"/>
      <c r="F51" s="133"/>
      <c r="G51" s="133"/>
      <c r="H51" s="133"/>
      <c r="I51" s="133"/>
      <c r="J51" s="133"/>
      <c r="K51" s="134"/>
    </row>
    <row r="54" spans="2:11" x14ac:dyDescent="0.35">
      <c r="B54" s="111" t="s">
        <v>271</v>
      </c>
      <c r="C54" s="112"/>
      <c r="D54" s="113"/>
    </row>
  </sheetData>
  <sheetProtection sheet="1" objects="1" scenarios="1" selectLockedCells="1"/>
  <protectedRanges>
    <protectedRange sqref="B6:I6 L6:O6 B12:L12 N12:O12 B18:J18 L18:O18" name="Range1"/>
  </protectedRanges>
  <mergeCells count="49">
    <mergeCell ref="N25:O25"/>
    <mergeCell ref="F40:G40"/>
    <mergeCell ref="B9:F9"/>
    <mergeCell ref="F24:G24"/>
    <mergeCell ref="B39:C39"/>
    <mergeCell ref="B24:C24"/>
    <mergeCell ref="B22:C22"/>
    <mergeCell ref="D39:E39"/>
    <mergeCell ref="F39:G39"/>
    <mergeCell ref="B40:C40"/>
    <mergeCell ref="B25:C25"/>
    <mergeCell ref="D40:E40"/>
    <mergeCell ref="J25:K26"/>
    <mergeCell ref="I15:J15"/>
    <mergeCell ref="L18:M18"/>
    <mergeCell ref="B21:C21"/>
    <mergeCell ref="D21:E21"/>
    <mergeCell ref="F21:G21"/>
    <mergeCell ref="H21:I21"/>
    <mergeCell ref="F15:H15"/>
    <mergeCell ref="D15:E15"/>
    <mergeCell ref="L3:O3"/>
    <mergeCell ref="H9:J9"/>
    <mergeCell ref="B3:I3"/>
    <mergeCell ref="N18:O18"/>
    <mergeCell ref="B15:C15"/>
    <mergeCell ref="L15:M16"/>
    <mergeCell ref="N15:O16"/>
    <mergeCell ref="N9:O9"/>
    <mergeCell ref="N17:O17"/>
    <mergeCell ref="C51:K51"/>
    <mergeCell ref="D24:E24"/>
    <mergeCell ref="F22:G22"/>
    <mergeCell ref="D22:E22"/>
    <mergeCell ref="D25:E25"/>
    <mergeCell ref="C46:K46"/>
    <mergeCell ref="H22:I22"/>
    <mergeCell ref="H25:I25"/>
    <mergeCell ref="H24:I24"/>
    <mergeCell ref="C47:K47"/>
    <mergeCell ref="C50:K50"/>
    <mergeCell ref="J24:K24"/>
    <mergeCell ref="L24:M24"/>
    <mergeCell ref="L25:M25"/>
    <mergeCell ref="C43:K43"/>
    <mergeCell ref="C44:K44"/>
    <mergeCell ref="C45:K45"/>
    <mergeCell ref="F25:G25"/>
    <mergeCell ref="C42:K42"/>
  </mergeCells>
  <conditionalFormatting sqref="D40:E40">
    <cfRule type="expression" dxfId="3" priority="3">
      <formula>B40="Alarm.com Verizon"</formula>
    </cfRule>
    <cfRule type="expression" dxfId="2" priority="4">
      <formula>B40="Alarm.com AT&amp;T"</formula>
    </cfRule>
  </conditionalFormatting>
  <conditionalFormatting sqref="D39:E39">
    <cfRule type="expression" dxfId="1" priority="1">
      <formula>B40="Alarm.com Verizon"</formula>
    </cfRule>
    <cfRule type="expression" dxfId="0" priority="2">
      <formula>B40="Alarm.com AT&amp;T"</formula>
    </cfRule>
  </conditionalFormatting>
  <hyperlinks>
    <hyperlink ref="B4" r:id="rId1"/>
    <hyperlink ref="C4" r:id="rId2"/>
    <hyperlink ref="D4" r:id="rId3"/>
    <hyperlink ref="E4" r:id="rId4"/>
    <hyperlink ref="F4" r:id="rId5"/>
    <hyperlink ref="G4" r:id="rId6"/>
    <hyperlink ref="H4" r:id="rId7"/>
    <hyperlink ref="I4" r:id="rId8"/>
    <hyperlink ref="L4" r:id="rId9"/>
    <hyperlink ref="M4" r:id="rId10"/>
    <hyperlink ref="N4" r:id="rId11"/>
    <hyperlink ref="O4" r:id="rId12"/>
    <hyperlink ref="B10" r:id="rId13"/>
    <hyperlink ref="C10" r:id="rId14"/>
    <hyperlink ref="D10" r:id="rId15"/>
    <hyperlink ref="E10" r:id="rId16"/>
    <hyperlink ref="F10" r:id="rId17"/>
    <hyperlink ref="G10" r:id="rId18"/>
    <hyperlink ref="H10" r:id="rId19"/>
    <hyperlink ref="I10" r:id="rId20"/>
    <hyperlink ref="J10" r:id="rId21"/>
    <hyperlink ref="K10" r:id="rId22"/>
    <hyperlink ref="L10" r:id="rId23"/>
    <hyperlink ref="N10" r:id="rId24"/>
    <hyperlink ref="O10" r:id="rId25"/>
    <hyperlink ref="B16" r:id="rId26"/>
    <hyperlink ref="C16" r:id="rId27"/>
    <hyperlink ref="D16" r:id="rId28"/>
    <hyperlink ref="E16" r:id="rId29"/>
    <hyperlink ref="F16" r:id="rId30"/>
    <hyperlink ref="G16" r:id="rId31"/>
    <hyperlink ref="H16" r:id="rId32"/>
    <hyperlink ref="I16" r:id="rId33"/>
    <hyperlink ref="J16" r:id="rId34"/>
  </hyperlinks>
  <pageMargins left="0.25" right="0.2" top="0.25" bottom="0.25" header="0" footer="0"/>
  <pageSetup scale="55" orientation="landscape" r:id="rId35"/>
  <ignoredErrors>
    <ignoredError sqref="D19 J25" formulaRange="1"/>
  </ignoredErrors>
  <drawing r:id="rId36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Dropdowns!$C$2:$C$130</xm:f>
          </x14:formula1>
          <xm:sqref>C6 L18:M18 E6:H6 B12:L12</xm:sqref>
        </x14:dataValidation>
        <x14:dataValidation type="list" allowBlank="1" showInputMessage="1" showErrorMessage="1">
          <x14:formula1>
            <xm:f>Dropdowns!$C$2:$C$18</xm:f>
          </x14:formula1>
          <xm:sqref>B18:C18 F18:J18 N12:O12</xm:sqref>
        </x14:dataValidation>
        <x14:dataValidation type="list" allowBlank="1" showInputMessage="1" showErrorMessage="1">
          <x14:formula1>
            <xm:f>Dropdowns!$C$2:$C$7</xm:f>
          </x14:formula1>
          <xm:sqref>B22:C22</xm:sqref>
        </x14:dataValidation>
        <x14:dataValidation type="list" allowBlank="1" showInputMessage="1" showErrorMessage="1">
          <x14:formula1>
            <xm:f>Dropdowns!$C$3:$C$10</xm:f>
          </x14:formula1>
          <xm:sqref>D22:E22</xm:sqref>
        </x14:dataValidation>
        <x14:dataValidation type="list" allowBlank="1" showInputMessage="1" showErrorMessage="1">
          <x14:formula1>
            <xm:f>Dropdowns!$C$2:$C$97</xm:f>
          </x14:formula1>
          <xm:sqref>F22:G22</xm:sqref>
        </x14:dataValidation>
        <x14:dataValidation type="list" allowBlank="1" showInputMessage="1" showErrorMessage="1">
          <x14:formula1>
            <xm:f>Dropdowns!$C$2:$C$34</xm:f>
          </x14:formula1>
          <xm:sqref>L6:O6</xm:sqref>
        </x14:dataValidation>
        <x14:dataValidation type="list" allowBlank="1" showInputMessage="1" showErrorMessage="1">
          <x14:formula1>
            <xm:f>Dropdowns!$C$2:$C$10</xm:f>
          </x14:formula1>
          <xm:sqref>H22:I22</xm:sqref>
        </x14:dataValidation>
        <x14:dataValidation type="list" allowBlank="1" showInputMessage="1" showErrorMessage="1">
          <x14:formula1>
            <xm:f>Dropdowns!$E$2:$E$3</xm:f>
          </x14:formula1>
          <xm:sqref>J38 M37 D40 F40</xm:sqref>
        </x14:dataValidation>
        <x14:dataValidation type="list" allowBlank="1" showInputMessage="1" showErrorMessage="1">
          <x14:formula1>
            <xm:f>Dropdowns!$A$2:$A$7</xm:f>
          </x14:formula1>
          <xm:sqref>B40:C40</xm:sqref>
        </x14:dataValidation>
        <x14:dataValidation type="list" allowBlank="1" showInputMessage="1" showErrorMessage="1">
          <x14:formula1>
            <xm:f>Dropdowns!$C$2:$C$5</xm:f>
          </x14:formula1>
          <xm:sqref>B6</xm:sqref>
        </x14:dataValidation>
        <x14:dataValidation type="list" allowBlank="1" showInputMessage="1" showErrorMessage="1">
          <x14:formula1>
            <xm:f>Dropdowns!$C$2:$C$12</xm:f>
          </x14:formula1>
          <xm:sqref>D6 I6</xm:sqref>
        </x14:dataValidation>
        <x14:dataValidation type="list" allowBlank="1" showInputMessage="1" showErrorMessage="1">
          <x14:formula1>
            <xm:f>Dropdowns!$C$2:$C$3</xm:f>
          </x14:formula1>
          <xm:sqref>D18:E18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I30"/>
  <sheetViews>
    <sheetView showGridLines="0" showRowColHeaders="0" zoomScale="80" zoomScaleNormal="80" workbookViewId="0">
      <selection activeCell="F14" sqref="F14"/>
    </sheetView>
  </sheetViews>
  <sheetFormatPr defaultRowHeight="14.5" x14ac:dyDescent="0.35"/>
  <cols>
    <col min="2" max="2" width="34.453125" bestFit="1" customWidth="1"/>
    <col min="3" max="3" width="29.26953125" bestFit="1" customWidth="1"/>
    <col min="4" max="4" width="14.453125" bestFit="1" customWidth="1"/>
    <col min="5" max="5" width="6.81640625" customWidth="1"/>
    <col min="6" max="6" width="9.26953125" bestFit="1" customWidth="1"/>
    <col min="7" max="7" width="11.453125" bestFit="1" customWidth="1"/>
  </cols>
  <sheetData>
    <row r="3" spans="2:7" ht="15" thickBot="1" x14ac:dyDescent="0.4">
      <c r="B3" s="30" t="s">
        <v>255</v>
      </c>
      <c r="C3" s="30"/>
      <c r="D3" s="30"/>
      <c r="E3" s="30"/>
      <c r="F3" s="30"/>
      <c r="G3" s="30"/>
    </row>
    <row r="4" spans="2:7" ht="21.75" customHeight="1" thickBot="1" x14ac:dyDescent="0.4">
      <c r="B4" s="94" t="s">
        <v>238</v>
      </c>
      <c r="C4" s="95" t="s">
        <v>71</v>
      </c>
      <c r="D4" s="95" t="s">
        <v>61</v>
      </c>
      <c r="E4" s="95"/>
      <c r="F4" s="95" t="s">
        <v>62</v>
      </c>
      <c r="G4" s="96" t="s">
        <v>239</v>
      </c>
    </row>
    <row r="5" spans="2:7" ht="9.75" customHeight="1" x14ac:dyDescent="0.35">
      <c r="B5" s="33"/>
      <c r="C5" s="33"/>
      <c r="D5" s="33"/>
      <c r="E5" s="33"/>
      <c r="F5" s="33"/>
      <c r="G5" s="33"/>
    </row>
    <row r="6" spans="2:7" x14ac:dyDescent="0.35">
      <c r="B6" s="31" t="s">
        <v>52</v>
      </c>
      <c r="C6" s="31" t="s">
        <v>52</v>
      </c>
      <c r="D6" s="32">
        <v>85</v>
      </c>
      <c r="E6" s="32" t="s">
        <v>253</v>
      </c>
      <c r="F6" s="32">
        <v>1</v>
      </c>
      <c r="G6" s="32">
        <f>+F6*D6</f>
        <v>85</v>
      </c>
    </row>
    <row r="7" spans="2:7" x14ac:dyDescent="0.35">
      <c r="B7" s="31" t="s">
        <v>29</v>
      </c>
      <c r="C7" s="31" t="s">
        <v>242</v>
      </c>
      <c r="D7" s="32">
        <v>105</v>
      </c>
      <c r="E7" s="32" t="s">
        <v>253</v>
      </c>
      <c r="F7" s="32">
        <f>+'Panel and system definition'!B18</f>
        <v>0</v>
      </c>
      <c r="G7" s="32">
        <f t="shared" ref="G7:G21" si="0">+F7*D7</f>
        <v>0</v>
      </c>
    </row>
    <row r="8" spans="2:7" x14ac:dyDescent="0.35">
      <c r="B8" s="31" t="s">
        <v>30</v>
      </c>
      <c r="C8" s="31" t="s">
        <v>242</v>
      </c>
      <c r="D8" s="32">
        <v>105</v>
      </c>
      <c r="E8" s="32" t="s">
        <v>253</v>
      </c>
      <c r="F8" s="32">
        <f>+'Panel and system definition'!C18</f>
        <v>0</v>
      </c>
      <c r="G8" s="32">
        <f t="shared" si="0"/>
        <v>0</v>
      </c>
    </row>
    <row r="9" spans="2:7" x14ac:dyDescent="0.35">
      <c r="B9" s="31" t="s">
        <v>31</v>
      </c>
      <c r="C9" s="31" t="s">
        <v>242</v>
      </c>
      <c r="D9" s="32">
        <v>105</v>
      </c>
      <c r="E9" s="32" t="s">
        <v>253</v>
      </c>
      <c r="F9" s="32">
        <f>+'Panel and system definition'!D18</f>
        <v>1</v>
      </c>
      <c r="G9" s="32">
        <f t="shared" si="0"/>
        <v>105</v>
      </c>
    </row>
    <row r="10" spans="2:7" x14ac:dyDescent="0.35">
      <c r="B10" s="31" t="s">
        <v>32</v>
      </c>
      <c r="C10" s="31" t="s">
        <v>242</v>
      </c>
      <c r="D10" s="32">
        <v>105</v>
      </c>
      <c r="E10" s="32" t="s">
        <v>253</v>
      </c>
      <c r="F10" s="32">
        <f>+'Panel and system definition'!E18</f>
        <v>0</v>
      </c>
      <c r="G10" s="32">
        <f t="shared" si="0"/>
        <v>0</v>
      </c>
    </row>
    <row r="11" spans="2:7" x14ac:dyDescent="0.35">
      <c r="B11" s="31" t="s">
        <v>36</v>
      </c>
      <c r="C11" s="31" t="s">
        <v>242</v>
      </c>
      <c r="D11" s="32">
        <v>160</v>
      </c>
      <c r="E11" s="32" t="s">
        <v>253</v>
      </c>
      <c r="F11" s="32">
        <f>+'Panel and system definition'!I18</f>
        <v>2</v>
      </c>
      <c r="G11" s="32">
        <f t="shared" si="0"/>
        <v>320</v>
      </c>
    </row>
    <row r="12" spans="2:7" x14ac:dyDescent="0.35">
      <c r="B12" s="31" t="s">
        <v>37</v>
      </c>
      <c r="C12" s="31" t="s">
        <v>242</v>
      </c>
      <c r="D12" s="32">
        <v>160</v>
      </c>
      <c r="E12" s="32" t="s">
        <v>253</v>
      </c>
      <c r="F12" s="32">
        <f>+'Panel and system definition'!J18</f>
        <v>0</v>
      </c>
      <c r="G12" s="32">
        <f t="shared" si="0"/>
        <v>0</v>
      </c>
    </row>
    <row r="13" spans="2:7" x14ac:dyDescent="0.35">
      <c r="B13" s="31" t="s">
        <v>53</v>
      </c>
      <c r="C13" s="31" t="s">
        <v>243</v>
      </c>
      <c r="D13" s="32">
        <v>30</v>
      </c>
      <c r="E13" s="32" t="s">
        <v>253</v>
      </c>
      <c r="F13" s="32">
        <f>+'Panel and system definition'!B25</f>
        <v>0</v>
      </c>
      <c r="G13" s="32">
        <f t="shared" si="0"/>
        <v>0</v>
      </c>
    </row>
    <row r="14" spans="2:7" x14ac:dyDescent="0.35">
      <c r="B14" s="31" t="s">
        <v>54</v>
      </c>
      <c r="C14" s="31" t="s">
        <v>244</v>
      </c>
      <c r="D14" s="32">
        <v>40</v>
      </c>
      <c r="E14" s="32" t="s">
        <v>253</v>
      </c>
      <c r="F14" s="98"/>
      <c r="G14" s="32">
        <f t="shared" si="0"/>
        <v>0</v>
      </c>
    </row>
    <row r="15" spans="2:7" x14ac:dyDescent="0.35">
      <c r="B15" s="31" t="s">
        <v>55</v>
      </c>
      <c r="C15" s="31" t="s">
        <v>245</v>
      </c>
      <c r="D15" s="32">
        <v>35</v>
      </c>
      <c r="E15" s="32" t="s">
        <v>253</v>
      </c>
      <c r="F15" s="32">
        <f>+I25</f>
        <v>1</v>
      </c>
      <c r="G15" s="32">
        <f t="shared" si="0"/>
        <v>35</v>
      </c>
    </row>
    <row r="16" spans="2:7" x14ac:dyDescent="0.35">
      <c r="B16" s="31" t="s">
        <v>56</v>
      </c>
      <c r="C16" s="31" t="s">
        <v>246</v>
      </c>
      <c r="D16" s="32">
        <v>35</v>
      </c>
      <c r="E16" s="32" t="s">
        <v>253</v>
      </c>
      <c r="F16" s="35">
        <f>+'Quote Suggested Dealer Price'!E35</f>
        <v>0</v>
      </c>
      <c r="G16" s="32">
        <f t="shared" si="0"/>
        <v>0</v>
      </c>
    </row>
    <row r="17" spans="2:9" x14ac:dyDescent="0.35">
      <c r="B17" s="31" t="s">
        <v>57</v>
      </c>
      <c r="C17" s="31" t="s">
        <v>247</v>
      </c>
      <c r="D17" s="32">
        <v>35</v>
      </c>
      <c r="E17" s="32" t="s">
        <v>253</v>
      </c>
      <c r="F17" s="32">
        <f>IF('Panel and system definition'!J25="You will need a HSM2HOST9", 1, 0)</f>
        <v>0</v>
      </c>
      <c r="G17" s="32">
        <f t="shared" si="0"/>
        <v>0</v>
      </c>
    </row>
    <row r="18" spans="2:9" x14ac:dyDescent="0.35">
      <c r="B18" s="31" t="s">
        <v>58</v>
      </c>
      <c r="C18" s="31" t="s">
        <v>248</v>
      </c>
      <c r="D18" s="32">
        <v>125</v>
      </c>
      <c r="E18" s="32" t="s">
        <v>253</v>
      </c>
      <c r="F18" s="32">
        <f>IF('Panel and system definition'!C41=3, 1, 0)</f>
        <v>0</v>
      </c>
      <c r="G18" s="32">
        <f t="shared" si="0"/>
        <v>0</v>
      </c>
    </row>
    <row r="19" spans="2:9" x14ac:dyDescent="0.35">
      <c r="B19" s="31" t="s">
        <v>59</v>
      </c>
      <c r="C19" s="31" t="s">
        <v>249</v>
      </c>
      <c r="D19" s="32">
        <v>125</v>
      </c>
      <c r="E19" s="32" t="s">
        <v>253</v>
      </c>
      <c r="F19" s="32">
        <f>IF('Panel and system definition'!C41=2, 1, 0)</f>
        <v>0</v>
      </c>
      <c r="G19" s="32">
        <f t="shared" si="0"/>
        <v>0</v>
      </c>
    </row>
    <row r="20" spans="2:9" x14ac:dyDescent="0.35">
      <c r="B20" s="31" t="s">
        <v>60</v>
      </c>
      <c r="C20" s="31" t="s">
        <v>250</v>
      </c>
      <c r="D20" s="32">
        <v>125</v>
      </c>
      <c r="E20" s="32" t="s">
        <v>253</v>
      </c>
      <c r="F20" s="32">
        <f>IF('Panel and system definition'!C41=4, 1, 0)</f>
        <v>0</v>
      </c>
      <c r="G20" s="32">
        <f t="shared" si="0"/>
        <v>0</v>
      </c>
    </row>
    <row r="21" spans="2:9" x14ac:dyDescent="0.35">
      <c r="B21" s="31" t="s">
        <v>251</v>
      </c>
      <c r="C21" s="31" t="s">
        <v>64</v>
      </c>
      <c r="D21" s="32">
        <v>200</v>
      </c>
      <c r="E21" s="32" t="s">
        <v>253</v>
      </c>
      <c r="F21" s="32">
        <f>IF('Panel and system definition'!C41&gt;=5,1,0)</f>
        <v>1</v>
      </c>
      <c r="G21" s="32">
        <f t="shared" si="0"/>
        <v>200</v>
      </c>
    </row>
    <row r="22" spans="2:9" x14ac:dyDescent="0.35">
      <c r="B22" s="31" t="s">
        <v>252</v>
      </c>
      <c r="C22" s="31"/>
      <c r="D22" s="32">
        <f>+'Panel and system definition'!N18</f>
        <v>0</v>
      </c>
      <c r="E22" s="32" t="s">
        <v>253</v>
      </c>
      <c r="F22" s="32">
        <v>1</v>
      </c>
      <c r="G22" s="32">
        <f>+F22*D22</f>
        <v>0</v>
      </c>
      <c r="I22" s="118"/>
    </row>
    <row r="23" spans="2:9" x14ac:dyDescent="0.35">
      <c r="B23" s="159" t="s">
        <v>254</v>
      </c>
      <c r="C23" s="159"/>
      <c r="D23" s="159"/>
      <c r="E23" s="159"/>
      <c r="F23" s="159"/>
      <c r="G23" s="97">
        <f>SUM(G6:G22)</f>
        <v>745</v>
      </c>
      <c r="I23" s="118">
        <f>SUM(G6:G14)+SUM(G16:G22)</f>
        <v>710</v>
      </c>
    </row>
    <row r="24" spans="2:9" x14ac:dyDescent="0.35">
      <c r="B24" s="30"/>
      <c r="C24" s="30"/>
      <c r="D24" s="30"/>
      <c r="E24" s="30"/>
      <c r="F24" s="116"/>
      <c r="G24" s="36">
        <f>+G23-700*0.95</f>
        <v>80</v>
      </c>
      <c r="H24" s="29"/>
      <c r="I24" s="36">
        <f>+I23-700*0.95</f>
        <v>45</v>
      </c>
    </row>
    <row r="25" spans="2:9" x14ac:dyDescent="0.35">
      <c r="B25" s="30"/>
      <c r="C25" s="30"/>
      <c r="D25" s="30"/>
      <c r="E25" s="30"/>
      <c r="F25" s="116"/>
      <c r="G25" s="36">
        <f>IF(ROUNDUP(G24/1000, 0)&lt;0, 0, ROUNDUP(G24/1000, 0))</f>
        <v>1</v>
      </c>
      <c r="H25" s="29"/>
      <c r="I25" s="36">
        <f>IF(ROUNDUP(I24/1000, 0)&lt;0, 0, ROUNDUP(I24/1000, 0))</f>
        <v>1</v>
      </c>
    </row>
    <row r="26" spans="2:9" x14ac:dyDescent="0.35">
      <c r="F26" s="29"/>
      <c r="G26" s="29"/>
      <c r="H26" s="29"/>
      <c r="I26" s="29"/>
    </row>
    <row r="27" spans="2:9" x14ac:dyDescent="0.35">
      <c r="F27" s="29"/>
      <c r="G27" s="29"/>
      <c r="H27" s="29"/>
      <c r="I27" s="29"/>
    </row>
    <row r="28" spans="2:9" x14ac:dyDescent="0.35">
      <c r="F28" s="29"/>
      <c r="G28" s="29"/>
      <c r="H28" s="29"/>
      <c r="I28" s="29"/>
    </row>
    <row r="29" spans="2:9" x14ac:dyDescent="0.35">
      <c r="F29" s="29"/>
      <c r="G29" s="29"/>
      <c r="H29" s="29"/>
      <c r="I29" s="29"/>
    </row>
    <row r="30" spans="2:9" x14ac:dyDescent="0.35">
      <c r="F30" s="29"/>
      <c r="G30" s="29"/>
      <c r="H30" s="29"/>
      <c r="I30" s="29"/>
    </row>
  </sheetData>
  <sheetProtection sheet="1" objects="1" scenarios="1" selectLockedCells="1"/>
  <protectedRanges>
    <protectedRange sqref="F14" name="Range1"/>
  </protectedRanges>
  <mergeCells count="1">
    <mergeCell ref="B23:F2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86"/>
  <sheetViews>
    <sheetView workbookViewId="0">
      <selection activeCell="A7" sqref="A7"/>
    </sheetView>
  </sheetViews>
  <sheetFormatPr defaultRowHeight="14.5" x14ac:dyDescent="0.35"/>
  <cols>
    <col min="1" max="1" width="20.26953125" customWidth="1"/>
    <col min="2" max="2" width="60.7265625" customWidth="1"/>
    <col min="3" max="3" width="10.453125" customWidth="1"/>
  </cols>
  <sheetData>
    <row r="1" spans="1:3" ht="65" x14ac:dyDescent="0.35">
      <c r="A1" s="2" t="s">
        <v>70</v>
      </c>
      <c r="B1" s="3" t="s">
        <v>71</v>
      </c>
      <c r="C1" s="4" t="s">
        <v>72</v>
      </c>
    </row>
    <row r="2" spans="1:3" ht="25" x14ac:dyDescent="0.35">
      <c r="A2" s="5" t="s">
        <v>73</v>
      </c>
      <c r="B2" s="6" t="s">
        <v>74</v>
      </c>
      <c r="C2" s="7">
        <v>16.2</v>
      </c>
    </row>
    <row r="3" spans="1:3" ht="37.5" x14ac:dyDescent="0.35">
      <c r="A3" s="8" t="s">
        <v>75</v>
      </c>
      <c r="B3" s="9" t="s">
        <v>76</v>
      </c>
      <c r="C3" s="7">
        <v>172.125</v>
      </c>
    </row>
    <row r="4" spans="1:3" x14ac:dyDescent="0.35">
      <c r="A4" s="8" t="s">
        <v>77</v>
      </c>
      <c r="B4" s="9" t="s">
        <v>78</v>
      </c>
      <c r="C4" s="7">
        <v>163.62</v>
      </c>
    </row>
    <row r="5" spans="1:3" ht="37.5" x14ac:dyDescent="0.35">
      <c r="A5" s="5" t="s">
        <v>79</v>
      </c>
      <c r="B5" s="10" t="s">
        <v>80</v>
      </c>
      <c r="C5" s="7">
        <v>202.5</v>
      </c>
    </row>
    <row r="6" spans="1:3" ht="37.5" x14ac:dyDescent="0.35">
      <c r="A6" s="5" t="s">
        <v>81</v>
      </c>
      <c r="B6" s="10" t="s">
        <v>82</v>
      </c>
      <c r="C6" s="7">
        <v>222.75</v>
      </c>
    </row>
    <row r="7" spans="1:3" ht="37.5" x14ac:dyDescent="0.35">
      <c r="A7" s="5" t="s">
        <v>227</v>
      </c>
      <c r="B7" s="19" t="s">
        <v>228</v>
      </c>
      <c r="C7" s="5">
        <v>11.48</v>
      </c>
    </row>
    <row r="8" spans="1:3" x14ac:dyDescent="0.35">
      <c r="A8" s="8" t="s">
        <v>83</v>
      </c>
      <c r="B8" s="9" t="s">
        <v>84</v>
      </c>
      <c r="C8" s="7">
        <v>46.71</v>
      </c>
    </row>
    <row r="9" spans="1:3" ht="25" x14ac:dyDescent="0.35">
      <c r="A9" s="8" t="s">
        <v>85</v>
      </c>
      <c r="B9" s="9" t="s">
        <v>86</v>
      </c>
      <c r="C9" s="7">
        <v>46.71</v>
      </c>
    </row>
    <row r="10" spans="1:3" x14ac:dyDescent="0.35">
      <c r="A10" s="8" t="s">
        <v>87</v>
      </c>
      <c r="B10" s="9" t="s">
        <v>88</v>
      </c>
      <c r="C10" s="7">
        <v>37.148494872359159</v>
      </c>
    </row>
    <row r="11" spans="1:3" x14ac:dyDescent="0.35">
      <c r="A11" s="8" t="s">
        <v>89</v>
      </c>
      <c r="B11" s="9" t="s">
        <v>90</v>
      </c>
      <c r="C11" s="7">
        <v>37.152000000000001</v>
      </c>
    </row>
    <row r="12" spans="1:3" x14ac:dyDescent="0.35">
      <c r="A12" s="8" t="s">
        <v>91</v>
      </c>
      <c r="B12" s="9" t="s">
        <v>92</v>
      </c>
      <c r="C12" s="7">
        <v>60.521326935053445</v>
      </c>
    </row>
    <row r="13" spans="1:3" ht="25" x14ac:dyDescent="0.35">
      <c r="A13" s="8" t="s">
        <v>93</v>
      </c>
      <c r="B13" s="9" t="s">
        <v>94</v>
      </c>
      <c r="C13" s="7">
        <v>60.520500000000006</v>
      </c>
    </row>
    <row r="14" spans="1:3" x14ac:dyDescent="0.35">
      <c r="A14" s="8" t="s">
        <v>95</v>
      </c>
      <c r="B14" s="9" t="s">
        <v>96</v>
      </c>
      <c r="C14" s="7">
        <v>53.406000000000006</v>
      </c>
    </row>
    <row r="15" spans="1:3" x14ac:dyDescent="0.35">
      <c r="A15" s="8" t="s">
        <v>97</v>
      </c>
      <c r="B15" s="9" t="s">
        <v>98</v>
      </c>
      <c r="C15" s="7">
        <v>53.411392562959058</v>
      </c>
    </row>
    <row r="16" spans="1:3" x14ac:dyDescent="0.35">
      <c r="A16" s="8" t="s">
        <v>99</v>
      </c>
      <c r="B16" s="9" t="s">
        <v>100</v>
      </c>
      <c r="C16" s="7">
        <v>77.0715</v>
      </c>
    </row>
    <row r="17" spans="1:3" ht="25" x14ac:dyDescent="0.35">
      <c r="A17" s="8" t="s">
        <v>101</v>
      </c>
      <c r="B17" s="9" t="s">
        <v>102</v>
      </c>
      <c r="C17" s="7">
        <v>77.072861865234415</v>
      </c>
    </row>
    <row r="18" spans="1:3" x14ac:dyDescent="0.35">
      <c r="A18" s="8" t="s">
        <v>103</v>
      </c>
      <c r="B18" s="9" t="s">
        <v>104</v>
      </c>
      <c r="C18" s="7">
        <v>54.404999999999994</v>
      </c>
    </row>
    <row r="19" spans="1:3" x14ac:dyDescent="0.35">
      <c r="A19" s="8" t="s">
        <v>105</v>
      </c>
      <c r="B19" s="9" t="s">
        <v>106</v>
      </c>
      <c r="C19" s="7">
        <v>54.404999999999994</v>
      </c>
    </row>
    <row r="20" spans="1:3" x14ac:dyDescent="0.35">
      <c r="A20" s="8" t="s">
        <v>107</v>
      </c>
      <c r="B20" s="9" t="s">
        <v>108</v>
      </c>
      <c r="C20" s="7">
        <v>198.30149999999998</v>
      </c>
    </row>
    <row r="21" spans="1:3" ht="25" x14ac:dyDescent="0.35">
      <c r="A21" s="8" t="s">
        <v>109</v>
      </c>
      <c r="B21" s="9" t="s">
        <v>110</v>
      </c>
      <c r="C21" s="7">
        <v>198.30149999999998</v>
      </c>
    </row>
    <row r="22" spans="1:3" x14ac:dyDescent="0.35">
      <c r="A22" s="8" t="s">
        <v>111</v>
      </c>
      <c r="B22" s="9" t="s">
        <v>112</v>
      </c>
      <c r="C22" s="7">
        <v>134.51400000000001</v>
      </c>
    </row>
    <row r="23" spans="1:3" x14ac:dyDescent="0.35">
      <c r="A23" s="8" t="s">
        <v>113</v>
      </c>
      <c r="B23" s="9" t="s">
        <v>114</v>
      </c>
      <c r="C23" s="7">
        <v>134.51400000000001</v>
      </c>
    </row>
    <row r="24" spans="1:3" ht="25" x14ac:dyDescent="0.35">
      <c r="A24" s="11" t="s">
        <v>115</v>
      </c>
      <c r="B24" s="9" t="s">
        <v>116</v>
      </c>
      <c r="C24" s="7">
        <v>50.263494475096174</v>
      </c>
    </row>
    <row r="25" spans="1:3" ht="25" x14ac:dyDescent="0.35">
      <c r="A25" s="8" t="s">
        <v>117</v>
      </c>
      <c r="B25" s="9" t="s">
        <v>118</v>
      </c>
      <c r="C25" s="7">
        <v>50.263494475096174</v>
      </c>
    </row>
    <row r="26" spans="1:3" ht="25" x14ac:dyDescent="0.35">
      <c r="A26" s="8" t="s">
        <v>119</v>
      </c>
      <c r="B26" s="9" t="s">
        <v>120</v>
      </c>
      <c r="C26" s="7">
        <v>57.0105</v>
      </c>
    </row>
    <row r="27" spans="1:3" ht="37.5" x14ac:dyDescent="0.35">
      <c r="A27" s="8" t="s">
        <v>121</v>
      </c>
      <c r="B27" s="9" t="s">
        <v>122</v>
      </c>
      <c r="C27" s="7">
        <v>57.0105</v>
      </c>
    </row>
    <row r="28" spans="1:3" ht="37.5" x14ac:dyDescent="0.35">
      <c r="A28" s="8" t="s">
        <v>123</v>
      </c>
      <c r="B28" s="9" t="s">
        <v>124</v>
      </c>
      <c r="C28" s="7">
        <v>68.95692273709291</v>
      </c>
    </row>
    <row r="29" spans="1:3" ht="37.5" x14ac:dyDescent="0.35">
      <c r="A29" s="8" t="s">
        <v>125</v>
      </c>
      <c r="B29" s="9" t="s">
        <v>126</v>
      </c>
      <c r="C29" s="7">
        <v>68.95692273709291</v>
      </c>
    </row>
    <row r="30" spans="1:3" ht="37.5" x14ac:dyDescent="0.35">
      <c r="A30" s="8" t="s">
        <v>127</v>
      </c>
      <c r="B30" s="9" t="s">
        <v>128</v>
      </c>
      <c r="C30" s="7">
        <v>74.358000000000004</v>
      </c>
    </row>
    <row r="31" spans="1:3" ht="37.5" x14ac:dyDescent="0.35">
      <c r="A31" s="8" t="s">
        <v>129</v>
      </c>
      <c r="B31" s="9" t="s">
        <v>130</v>
      </c>
      <c r="C31" s="7">
        <v>74.358000000000004</v>
      </c>
    </row>
    <row r="32" spans="1:3" ht="25" x14ac:dyDescent="0.35">
      <c r="A32" s="8" t="s">
        <v>29</v>
      </c>
      <c r="B32" s="9" t="s">
        <v>131</v>
      </c>
      <c r="C32" s="7">
        <v>95.777204259406119</v>
      </c>
    </row>
    <row r="33" spans="1:3" ht="25" x14ac:dyDescent="0.35">
      <c r="A33" s="8" t="s">
        <v>132</v>
      </c>
      <c r="B33" s="9" t="s">
        <v>133</v>
      </c>
      <c r="C33" s="7">
        <v>95.777204259406119</v>
      </c>
    </row>
    <row r="34" spans="1:3" ht="25" x14ac:dyDescent="0.35">
      <c r="A34" s="8" t="s">
        <v>30</v>
      </c>
      <c r="B34" s="9" t="s">
        <v>134</v>
      </c>
      <c r="C34" s="7">
        <v>102.53250000000001</v>
      </c>
    </row>
    <row r="35" spans="1:3" ht="37.5" x14ac:dyDescent="0.35">
      <c r="A35" s="8" t="s">
        <v>135</v>
      </c>
      <c r="B35" s="9" t="s">
        <v>136</v>
      </c>
      <c r="C35" s="7">
        <v>102.53250000000001</v>
      </c>
    </row>
    <row r="36" spans="1:3" ht="37.5" x14ac:dyDescent="0.35">
      <c r="A36" s="8" t="s">
        <v>31</v>
      </c>
      <c r="B36" s="9" t="s">
        <v>137</v>
      </c>
      <c r="C36" s="7">
        <v>118.66936133313372</v>
      </c>
    </row>
    <row r="37" spans="1:3" ht="37.5" x14ac:dyDescent="0.35">
      <c r="A37" s="8" t="s">
        <v>138</v>
      </c>
      <c r="B37" s="9" t="s">
        <v>139</v>
      </c>
      <c r="C37" s="7">
        <v>109.8790382714201</v>
      </c>
    </row>
    <row r="38" spans="1:3" ht="37.5" x14ac:dyDescent="0.35">
      <c r="A38" s="8" t="s">
        <v>32</v>
      </c>
      <c r="B38" s="9" t="s">
        <v>140</v>
      </c>
      <c r="C38" s="7">
        <v>116.12500000000001</v>
      </c>
    </row>
    <row r="39" spans="1:3" ht="37.5" x14ac:dyDescent="0.35">
      <c r="A39" s="8" t="s">
        <v>141</v>
      </c>
      <c r="B39" s="9" t="s">
        <v>142</v>
      </c>
      <c r="C39" s="7">
        <v>116.12500000000001</v>
      </c>
    </row>
    <row r="40" spans="1:3" ht="25" x14ac:dyDescent="0.35">
      <c r="A40" s="11" t="s">
        <v>143</v>
      </c>
      <c r="B40" s="9" t="s">
        <v>144</v>
      </c>
      <c r="C40" s="7">
        <v>101.25</v>
      </c>
    </row>
    <row r="41" spans="1:3" ht="29" x14ac:dyDescent="0.35">
      <c r="A41" s="5" t="s">
        <v>145</v>
      </c>
      <c r="B41" s="12" t="s">
        <v>146</v>
      </c>
      <c r="C41" s="7">
        <v>16.25</v>
      </c>
    </row>
    <row r="42" spans="1:3" ht="37.5" x14ac:dyDescent="0.35">
      <c r="A42" s="11" t="s">
        <v>147</v>
      </c>
      <c r="B42" s="9" t="s">
        <v>148</v>
      </c>
      <c r="C42" s="7">
        <v>118.75</v>
      </c>
    </row>
    <row r="43" spans="1:3" ht="37.5" x14ac:dyDescent="0.35">
      <c r="A43" s="11" t="s">
        <v>149</v>
      </c>
      <c r="B43" s="9" t="s">
        <v>150</v>
      </c>
      <c r="C43" s="7">
        <v>143.75</v>
      </c>
    </row>
    <row r="44" spans="1:3" ht="25" x14ac:dyDescent="0.35">
      <c r="A44" s="13" t="s">
        <v>36</v>
      </c>
      <c r="B44" s="14" t="s">
        <v>151</v>
      </c>
      <c r="C44" s="7">
        <v>180</v>
      </c>
    </row>
    <row r="45" spans="1:3" ht="25" x14ac:dyDescent="0.35">
      <c r="A45" s="13" t="s">
        <v>37</v>
      </c>
      <c r="B45" s="14" t="s">
        <v>152</v>
      </c>
      <c r="C45" s="7">
        <v>180</v>
      </c>
    </row>
    <row r="46" spans="1:3" ht="62.5" x14ac:dyDescent="0.35">
      <c r="A46" s="8" t="s">
        <v>153</v>
      </c>
      <c r="B46" s="15" t="s">
        <v>154</v>
      </c>
      <c r="C46" s="7">
        <v>190.625</v>
      </c>
    </row>
    <row r="47" spans="1:3" ht="75" x14ac:dyDescent="0.35">
      <c r="A47" s="8" t="s">
        <v>155</v>
      </c>
      <c r="B47" s="15" t="s">
        <v>156</v>
      </c>
      <c r="C47" s="7">
        <v>190.625</v>
      </c>
    </row>
    <row r="48" spans="1:3" ht="25" x14ac:dyDescent="0.35">
      <c r="A48" s="8" t="s">
        <v>53</v>
      </c>
      <c r="B48" s="9" t="s">
        <v>157</v>
      </c>
      <c r="C48" s="7">
        <v>26.142920447358712</v>
      </c>
    </row>
    <row r="49" spans="1:3" ht="25" x14ac:dyDescent="0.35">
      <c r="A49" s="8" t="s">
        <v>56</v>
      </c>
      <c r="B49" s="9" t="s">
        <v>158</v>
      </c>
      <c r="C49" s="7">
        <v>55.405867667597704</v>
      </c>
    </row>
    <row r="50" spans="1:3" ht="25" x14ac:dyDescent="0.35">
      <c r="A50" s="8" t="s">
        <v>54</v>
      </c>
      <c r="B50" s="9" t="s">
        <v>159</v>
      </c>
      <c r="C50" s="7">
        <v>28.204371589358807</v>
      </c>
    </row>
    <row r="51" spans="1:3" ht="25" x14ac:dyDescent="0.35">
      <c r="A51" s="8" t="s">
        <v>55</v>
      </c>
      <c r="B51" s="9" t="s">
        <v>160</v>
      </c>
      <c r="C51" s="7">
        <v>46.215796778615484</v>
      </c>
    </row>
    <row r="52" spans="1:3" x14ac:dyDescent="0.35">
      <c r="A52" s="16" t="s">
        <v>161</v>
      </c>
      <c r="B52" s="17" t="s">
        <v>162</v>
      </c>
      <c r="C52" s="7">
        <v>68.75</v>
      </c>
    </row>
    <row r="53" spans="1:3" ht="25" x14ac:dyDescent="0.35">
      <c r="A53" s="8" t="s">
        <v>163</v>
      </c>
      <c r="B53" s="9" t="s">
        <v>164</v>
      </c>
      <c r="C53" s="7">
        <v>71.55</v>
      </c>
    </row>
    <row r="54" spans="1:3" x14ac:dyDescent="0.35">
      <c r="A54" s="18" t="s">
        <v>222</v>
      </c>
      <c r="B54" s="19" t="s">
        <v>165</v>
      </c>
      <c r="C54" s="7">
        <v>118.75</v>
      </c>
    </row>
    <row r="55" spans="1:3" x14ac:dyDescent="0.35">
      <c r="A55" s="8" t="s">
        <v>229</v>
      </c>
      <c r="B55" s="9" t="s">
        <v>230</v>
      </c>
      <c r="C55" s="28">
        <v>15</v>
      </c>
    </row>
    <row r="56" spans="1:3" x14ac:dyDescent="0.35">
      <c r="A56" s="8" t="s">
        <v>240</v>
      </c>
      <c r="B56" s="9" t="s">
        <v>241</v>
      </c>
      <c r="C56" s="7">
        <v>17.5</v>
      </c>
    </row>
    <row r="57" spans="1:3" x14ac:dyDescent="0.35">
      <c r="A57" s="8" t="s">
        <v>14</v>
      </c>
      <c r="B57" s="9" t="s">
        <v>166</v>
      </c>
      <c r="C57" s="7">
        <v>47.684624999999997</v>
      </c>
    </row>
    <row r="58" spans="1:3" ht="25" x14ac:dyDescent="0.35">
      <c r="A58" s="8" t="s">
        <v>0</v>
      </c>
      <c r="B58" s="9" t="s">
        <v>167</v>
      </c>
      <c r="C58" s="7">
        <v>53.870875000000005</v>
      </c>
    </row>
    <row r="59" spans="1:3" x14ac:dyDescent="0.35">
      <c r="A59" s="8" t="s">
        <v>13</v>
      </c>
      <c r="B59" s="9" t="s">
        <v>168</v>
      </c>
      <c r="C59" s="7">
        <v>41.662499999999994</v>
      </c>
    </row>
    <row r="60" spans="1:3" x14ac:dyDescent="0.35">
      <c r="A60" s="8" t="s">
        <v>169</v>
      </c>
      <c r="B60" s="9" t="s">
        <v>170</v>
      </c>
      <c r="C60" s="7">
        <v>100.81062499999999</v>
      </c>
    </row>
    <row r="61" spans="1:3" x14ac:dyDescent="0.35">
      <c r="A61" s="8" t="s">
        <v>9</v>
      </c>
      <c r="B61" s="9" t="s">
        <v>171</v>
      </c>
      <c r="C61" s="7">
        <v>69.652124999999998</v>
      </c>
    </row>
    <row r="62" spans="1:3" x14ac:dyDescent="0.35">
      <c r="A62" s="8" t="s">
        <v>12</v>
      </c>
      <c r="B62" s="9" t="s">
        <v>172</v>
      </c>
      <c r="C62" s="7">
        <v>66.32651617745168</v>
      </c>
    </row>
    <row r="63" spans="1:3" x14ac:dyDescent="0.35">
      <c r="A63" s="8" t="s">
        <v>11</v>
      </c>
      <c r="B63" s="9" t="s">
        <v>173</v>
      </c>
      <c r="C63" s="7">
        <v>60.385374999999989</v>
      </c>
    </row>
    <row r="64" spans="1:3" x14ac:dyDescent="0.35">
      <c r="A64" s="8" t="s">
        <v>174</v>
      </c>
      <c r="B64" s="9" t="s">
        <v>175</v>
      </c>
      <c r="C64" s="7">
        <v>85.408125000000013</v>
      </c>
    </row>
    <row r="65" spans="1:3" x14ac:dyDescent="0.35">
      <c r="A65" s="8" t="s">
        <v>2</v>
      </c>
      <c r="B65" s="9" t="s">
        <v>176</v>
      </c>
      <c r="C65" s="7">
        <v>41.662499999999994</v>
      </c>
    </row>
    <row r="66" spans="1:3" x14ac:dyDescent="0.35">
      <c r="A66" s="8" t="s">
        <v>10</v>
      </c>
      <c r="B66" s="9" t="s">
        <v>177</v>
      </c>
      <c r="C66" s="7">
        <v>63.730999999999995</v>
      </c>
    </row>
    <row r="67" spans="1:3" x14ac:dyDescent="0.35">
      <c r="A67" s="8" t="s">
        <v>178</v>
      </c>
      <c r="B67" s="9" t="s">
        <v>179</v>
      </c>
      <c r="C67" s="7">
        <v>31.549874999999993</v>
      </c>
    </row>
    <row r="68" spans="1:3" ht="25" x14ac:dyDescent="0.35">
      <c r="A68" s="20" t="s">
        <v>1</v>
      </c>
      <c r="B68" s="6" t="s">
        <v>180</v>
      </c>
      <c r="C68" s="7">
        <v>97.5</v>
      </c>
    </row>
    <row r="69" spans="1:3" x14ac:dyDescent="0.35">
      <c r="A69" s="8" t="s">
        <v>8</v>
      </c>
      <c r="B69" s="9" t="s">
        <v>181</v>
      </c>
      <c r="C69" s="7">
        <v>39.301624999999994</v>
      </c>
    </row>
    <row r="70" spans="1:3" x14ac:dyDescent="0.35">
      <c r="A70" s="8" t="s">
        <v>182</v>
      </c>
      <c r="B70" s="9" t="s">
        <v>183</v>
      </c>
      <c r="C70" s="7">
        <v>31.764500000000002</v>
      </c>
    </row>
    <row r="71" spans="1:3" x14ac:dyDescent="0.35">
      <c r="A71" s="8" t="s">
        <v>184</v>
      </c>
      <c r="B71" s="9" t="s">
        <v>185</v>
      </c>
      <c r="C71" s="7">
        <v>24.357068807914896</v>
      </c>
    </row>
    <row r="72" spans="1:3" ht="37.5" x14ac:dyDescent="0.35">
      <c r="A72" s="20" t="s">
        <v>65</v>
      </c>
      <c r="B72" s="6" t="s">
        <v>186</v>
      </c>
      <c r="C72" s="7">
        <v>248.75</v>
      </c>
    </row>
    <row r="73" spans="1:3" x14ac:dyDescent="0.35">
      <c r="A73" s="8" t="s">
        <v>6</v>
      </c>
      <c r="B73" s="9" t="s">
        <v>187</v>
      </c>
      <c r="C73" s="7">
        <v>24.000125000000001</v>
      </c>
    </row>
    <row r="74" spans="1:3" x14ac:dyDescent="0.35">
      <c r="A74" s="5" t="s">
        <v>188</v>
      </c>
      <c r="B74" s="9" t="s">
        <v>189</v>
      </c>
      <c r="C74" s="7">
        <v>23.999999999999996</v>
      </c>
    </row>
    <row r="75" spans="1:3" x14ac:dyDescent="0.35">
      <c r="A75" s="8" t="s">
        <v>190</v>
      </c>
      <c r="B75" s="9" t="s">
        <v>191</v>
      </c>
      <c r="C75" s="7">
        <v>21.361499999999999</v>
      </c>
    </row>
    <row r="76" spans="1:3" ht="25" x14ac:dyDescent="0.35">
      <c r="A76" s="8" t="s">
        <v>4</v>
      </c>
      <c r="B76" s="9" t="s">
        <v>192</v>
      </c>
      <c r="C76" s="7">
        <v>49.237499999999997</v>
      </c>
    </row>
    <row r="77" spans="1:3" x14ac:dyDescent="0.35">
      <c r="A77" s="8" t="s">
        <v>7</v>
      </c>
      <c r="B77" s="9" t="s">
        <v>193</v>
      </c>
      <c r="C77" s="7">
        <v>25.376250000000002</v>
      </c>
    </row>
    <row r="78" spans="1:3" ht="25" x14ac:dyDescent="0.35">
      <c r="A78" s="5" t="s">
        <v>194</v>
      </c>
      <c r="B78" s="9" t="s">
        <v>195</v>
      </c>
      <c r="C78" s="7">
        <v>25.375</v>
      </c>
    </row>
    <row r="79" spans="1:3" ht="25" x14ac:dyDescent="0.35">
      <c r="A79" s="8" t="s">
        <v>3</v>
      </c>
      <c r="B79" s="9" t="s">
        <v>196</v>
      </c>
      <c r="C79" s="7">
        <v>63.125</v>
      </c>
    </row>
    <row r="80" spans="1:3" x14ac:dyDescent="0.35">
      <c r="A80" s="8" t="s">
        <v>16</v>
      </c>
      <c r="B80" s="9" t="s">
        <v>197</v>
      </c>
      <c r="C80" s="7">
        <v>41.447874999999996</v>
      </c>
    </row>
    <row r="81" spans="1:3" x14ac:dyDescent="0.35">
      <c r="A81" s="8" t="s">
        <v>5</v>
      </c>
      <c r="B81" s="9" t="s">
        <v>198</v>
      </c>
      <c r="C81" s="7">
        <v>151.5</v>
      </c>
    </row>
    <row r="82" spans="1:3" ht="29" x14ac:dyDescent="0.35">
      <c r="A82" s="5" t="s">
        <v>199</v>
      </c>
      <c r="B82" s="12" t="s">
        <v>200</v>
      </c>
      <c r="C82" s="7">
        <v>36.341666666666669</v>
      </c>
    </row>
    <row r="83" spans="1:3" ht="37.5" x14ac:dyDescent="0.35">
      <c r="A83" s="8" t="s">
        <v>201</v>
      </c>
      <c r="B83" s="9" t="s">
        <v>202</v>
      </c>
      <c r="C83" s="7">
        <v>200.625</v>
      </c>
    </row>
    <row r="84" spans="1:3" x14ac:dyDescent="0.35">
      <c r="A84" s="8" t="s">
        <v>203</v>
      </c>
      <c r="B84" s="9" t="s">
        <v>204</v>
      </c>
      <c r="C84" s="7">
        <v>191.25</v>
      </c>
    </row>
    <row r="85" spans="1:3" x14ac:dyDescent="0.35">
      <c r="A85" s="8" t="s">
        <v>205</v>
      </c>
      <c r="B85" s="9" t="s">
        <v>206</v>
      </c>
      <c r="C85" s="7">
        <v>88.375</v>
      </c>
    </row>
    <row r="86" spans="1:3" ht="25" x14ac:dyDescent="0.35">
      <c r="A86" s="8" t="s">
        <v>207</v>
      </c>
      <c r="B86" s="9" t="s">
        <v>208</v>
      </c>
      <c r="C86" s="7">
        <v>96.875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30"/>
  <sheetViews>
    <sheetView workbookViewId="0">
      <selection activeCell="A5" sqref="A5"/>
    </sheetView>
  </sheetViews>
  <sheetFormatPr defaultRowHeight="14.5" x14ac:dyDescent="0.35"/>
  <cols>
    <col min="1" max="1" width="17.54296875" customWidth="1"/>
  </cols>
  <sheetData>
    <row r="1" spans="1:5" x14ac:dyDescent="0.35">
      <c r="A1" t="s">
        <v>68</v>
      </c>
      <c r="C1" t="s">
        <v>69</v>
      </c>
    </row>
    <row r="2" spans="1:5" x14ac:dyDescent="0.35">
      <c r="A2" t="str">
        <f>+IF('Panel and system definition'!B6=0, "Phoneline", "Alarm.com AT&amp;T")</f>
        <v>Phoneline</v>
      </c>
      <c r="C2">
        <v>0</v>
      </c>
      <c r="E2" t="s">
        <v>209</v>
      </c>
    </row>
    <row r="3" spans="1:5" x14ac:dyDescent="0.35">
      <c r="A3" t="str">
        <f>+IF('Panel and system definition'!B6=0, "IP", "Alarm.com Verizon")</f>
        <v>IP</v>
      </c>
      <c r="C3">
        <v>1</v>
      </c>
      <c r="E3" t="s">
        <v>210</v>
      </c>
    </row>
    <row r="4" spans="1:5" x14ac:dyDescent="0.35">
      <c r="A4" t="str">
        <f>+IF('Panel and system definition'!B6=0, "HSPA (Cellular)", "Alarm.com AT&amp;T")</f>
        <v>HSPA (Cellular)</v>
      </c>
      <c r="C4">
        <v>2</v>
      </c>
    </row>
    <row r="5" spans="1:5" x14ac:dyDescent="0.35">
      <c r="A5" t="str">
        <f>+IF('Panel and system definition'!B6=0, "IP and HSPA", "Alarm.com Verizon")</f>
        <v>IP and HSPA</v>
      </c>
      <c r="C5">
        <v>3</v>
      </c>
    </row>
    <row r="6" spans="1:5" x14ac:dyDescent="0.35">
      <c r="A6" t="s">
        <v>218</v>
      </c>
      <c r="C6">
        <v>4</v>
      </c>
    </row>
    <row r="7" spans="1:5" x14ac:dyDescent="0.35">
      <c r="A7" t="s">
        <v>217</v>
      </c>
      <c r="C7">
        <v>5</v>
      </c>
    </row>
    <row r="8" spans="1:5" x14ac:dyDescent="0.35">
      <c r="C8">
        <v>6</v>
      </c>
    </row>
    <row r="9" spans="1:5" x14ac:dyDescent="0.35">
      <c r="C9">
        <v>7</v>
      </c>
    </row>
    <row r="10" spans="1:5" x14ac:dyDescent="0.35">
      <c r="C10">
        <v>8</v>
      </c>
    </row>
    <row r="11" spans="1:5" x14ac:dyDescent="0.35">
      <c r="C11">
        <v>9</v>
      </c>
    </row>
    <row r="12" spans="1:5" x14ac:dyDescent="0.35">
      <c r="C12">
        <v>10</v>
      </c>
    </row>
    <row r="13" spans="1:5" x14ac:dyDescent="0.35">
      <c r="C13">
        <v>11</v>
      </c>
    </row>
    <row r="14" spans="1:5" x14ac:dyDescent="0.35">
      <c r="C14">
        <v>12</v>
      </c>
    </row>
    <row r="15" spans="1:5" x14ac:dyDescent="0.35">
      <c r="C15">
        <v>13</v>
      </c>
    </row>
    <row r="16" spans="1:5" x14ac:dyDescent="0.35">
      <c r="C16">
        <v>14</v>
      </c>
    </row>
    <row r="17" spans="3:3" x14ac:dyDescent="0.35">
      <c r="C17">
        <v>15</v>
      </c>
    </row>
    <row r="18" spans="3:3" x14ac:dyDescent="0.35">
      <c r="C18">
        <v>16</v>
      </c>
    </row>
    <row r="19" spans="3:3" x14ac:dyDescent="0.35">
      <c r="C19">
        <v>17</v>
      </c>
    </row>
    <row r="20" spans="3:3" x14ac:dyDescent="0.35">
      <c r="C20">
        <v>18</v>
      </c>
    </row>
    <row r="21" spans="3:3" x14ac:dyDescent="0.35">
      <c r="C21">
        <v>19</v>
      </c>
    </row>
    <row r="22" spans="3:3" x14ac:dyDescent="0.35">
      <c r="C22">
        <v>20</v>
      </c>
    </row>
    <row r="23" spans="3:3" x14ac:dyDescent="0.35">
      <c r="C23">
        <v>21</v>
      </c>
    </row>
    <row r="24" spans="3:3" x14ac:dyDescent="0.35">
      <c r="C24">
        <v>22</v>
      </c>
    </row>
    <row r="25" spans="3:3" x14ac:dyDescent="0.35">
      <c r="C25">
        <v>23</v>
      </c>
    </row>
    <row r="26" spans="3:3" x14ac:dyDescent="0.35">
      <c r="C26">
        <v>24</v>
      </c>
    </row>
    <row r="27" spans="3:3" x14ac:dyDescent="0.35">
      <c r="C27">
        <v>25</v>
      </c>
    </row>
    <row r="28" spans="3:3" x14ac:dyDescent="0.35">
      <c r="C28">
        <v>26</v>
      </c>
    </row>
    <row r="29" spans="3:3" x14ac:dyDescent="0.35">
      <c r="C29">
        <v>27</v>
      </c>
    </row>
    <row r="30" spans="3:3" x14ac:dyDescent="0.35">
      <c r="C30">
        <v>28</v>
      </c>
    </row>
    <row r="31" spans="3:3" x14ac:dyDescent="0.35">
      <c r="C31">
        <v>29</v>
      </c>
    </row>
    <row r="32" spans="3:3" x14ac:dyDescent="0.35">
      <c r="C32">
        <v>30</v>
      </c>
    </row>
    <row r="33" spans="3:3" x14ac:dyDescent="0.35">
      <c r="C33">
        <v>31</v>
      </c>
    </row>
    <row r="34" spans="3:3" x14ac:dyDescent="0.35">
      <c r="C34">
        <v>32</v>
      </c>
    </row>
    <row r="35" spans="3:3" x14ac:dyDescent="0.35">
      <c r="C35">
        <v>33</v>
      </c>
    </row>
    <row r="36" spans="3:3" x14ac:dyDescent="0.35">
      <c r="C36">
        <v>34</v>
      </c>
    </row>
    <row r="37" spans="3:3" x14ac:dyDescent="0.35">
      <c r="C37">
        <v>35</v>
      </c>
    </row>
    <row r="38" spans="3:3" x14ac:dyDescent="0.35">
      <c r="C38">
        <v>36</v>
      </c>
    </row>
    <row r="39" spans="3:3" x14ac:dyDescent="0.35">
      <c r="C39">
        <v>37</v>
      </c>
    </row>
    <row r="40" spans="3:3" x14ac:dyDescent="0.35">
      <c r="C40">
        <v>38</v>
      </c>
    </row>
    <row r="41" spans="3:3" x14ac:dyDescent="0.35">
      <c r="C41">
        <v>39</v>
      </c>
    </row>
    <row r="42" spans="3:3" x14ac:dyDescent="0.35">
      <c r="C42">
        <v>40</v>
      </c>
    </row>
    <row r="43" spans="3:3" x14ac:dyDescent="0.35">
      <c r="C43">
        <v>41</v>
      </c>
    </row>
    <row r="44" spans="3:3" x14ac:dyDescent="0.35">
      <c r="C44">
        <v>42</v>
      </c>
    </row>
    <row r="45" spans="3:3" x14ac:dyDescent="0.35">
      <c r="C45">
        <v>43</v>
      </c>
    </row>
    <row r="46" spans="3:3" x14ac:dyDescent="0.35">
      <c r="C46">
        <v>44</v>
      </c>
    </row>
    <row r="47" spans="3:3" x14ac:dyDescent="0.35">
      <c r="C47">
        <v>45</v>
      </c>
    </row>
    <row r="48" spans="3:3" x14ac:dyDescent="0.35">
      <c r="C48">
        <v>46</v>
      </c>
    </row>
    <row r="49" spans="3:3" x14ac:dyDescent="0.35">
      <c r="C49">
        <v>47</v>
      </c>
    </row>
    <row r="50" spans="3:3" x14ac:dyDescent="0.35">
      <c r="C50">
        <v>48</v>
      </c>
    </row>
    <row r="51" spans="3:3" x14ac:dyDescent="0.35">
      <c r="C51">
        <v>49</v>
      </c>
    </row>
    <row r="52" spans="3:3" x14ac:dyDescent="0.35">
      <c r="C52">
        <v>50</v>
      </c>
    </row>
    <row r="53" spans="3:3" x14ac:dyDescent="0.35">
      <c r="C53">
        <v>51</v>
      </c>
    </row>
    <row r="54" spans="3:3" x14ac:dyDescent="0.35">
      <c r="C54">
        <v>52</v>
      </c>
    </row>
    <row r="55" spans="3:3" x14ac:dyDescent="0.35">
      <c r="C55">
        <v>53</v>
      </c>
    </row>
    <row r="56" spans="3:3" x14ac:dyDescent="0.35">
      <c r="C56">
        <v>54</v>
      </c>
    </row>
    <row r="57" spans="3:3" x14ac:dyDescent="0.35">
      <c r="C57">
        <v>55</v>
      </c>
    </row>
    <row r="58" spans="3:3" x14ac:dyDescent="0.35">
      <c r="C58">
        <v>56</v>
      </c>
    </row>
    <row r="59" spans="3:3" x14ac:dyDescent="0.35">
      <c r="C59">
        <v>57</v>
      </c>
    </row>
    <row r="60" spans="3:3" x14ac:dyDescent="0.35">
      <c r="C60">
        <v>58</v>
      </c>
    </row>
    <row r="61" spans="3:3" x14ac:dyDescent="0.35">
      <c r="C61">
        <v>59</v>
      </c>
    </row>
    <row r="62" spans="3:3" x14ac:dyDescent="0.35">
      <c r="C62">
        <v>60</v>
      </c>
    </row>
    <row r="63" spans="3:3" x14ac:dyDescent="0.35">
      <c r="C63">
        <v>61</v>
      </c>
    </row>
    <row r="64" spans="3:3" x14ac:dyDescent="0.35">
      <c r="C64">
        <v>62</v>
      </c>
    </row>
    <row r="65" spans="3:3" x14ac:dyDescent="0.35">
      <c r="C65">
        <v>63</v>
      </c>
    </row>
    <row r="66" spans="3:3" x14ac:dyDescent="0.35">
      <c r="C66">
        <v>64</v>
      </c>
    </row>
    <row r="67" spans="3:3" x14ac:dyDescent="0.35">
      <c r="C67">
        <v>65</v>
      </c>
    </row>
    <row r="68" spans="3:3" x14ac:dyDescent="0.35">
      <c r="C68">
        <v>66</v>
      </c>
    </row>
    <row r="69" spans="3:3" x14ac:dyDescent="0.35">
      <c r="C69">
        <v>67</v>
      </c>
    </row>
    <row r="70" spans="3:3" x14ac:dyDescent="0.35">
      <c r="C70">
        <v>68</v>
      </c>
    </row>
    <row r="71" spans="3:3" x14ac:dyDescent="0.35">
      <c r="C71">
        <v>69</v>
      </c>
    </row>
    <row r="72" spans="3:3" x14ac:dyDescent="0.35">
      <c r="C72">
        <v>70</v>
      </c>
    </row>
    <row r="73" spans="3:3" x14ac:dyDescent="0.35">
      <c r="C73">
        <v>71</v>
      </c>
    </row>
    <row r="74" spans="3:3" x14ac:dyDescent="0.35">
      <c r="C74">
        <v>72</v>
      </c>
    </row>
    <row r="75" spans="3:3" x14ac:dyDescent="0.35">
      <c r="C75">
        <v>73</v>
      </c>
    </row>
    <row r="76" spans="3:3" x14ac:dyDescent="0.35">
      <c r="C76">
        <v>74</v>
      </c>
    </row>
    <row r="77" spans="3:3" x14ac:dyDescent="0.35">
      <c r="C77">
        <v>75</v>
      </c>
    </row>
    <row r="78" spans="3:3" x14ac:dyDescent="0.35">
      <c r="C78">
        <v>76</v>
      </c>
    </row>
    <row r="79" spans="3:3" x14ac:dyDescent="0.35">
      <c r="C79">
        <v>77</v>
      </c>
    </row>
    <row r="80" spans="3:3" x14ac:dyDescent="0.35">
      <c r="C80">
        <v>78</v>
      </c>
    </row>
    <row r="81" spans="3:3" x14ac:dyDescent="0.35">
      <c r="C81">
        <v>79</v>
      </c>
    </row>
    <row r="82" spans="3:3" x14ac:dyDescent="0.35">
      <c r="C82">
        <v>80</v>
      </c>
    </row>
    <row r="83" spans="3:3" x14ac:dyDescent="0.35">
      <c r="C83">
        <v>81</v>
      </c>
    </row>
    <row r="84" spans="3:3" x14ac:dyDescent="0.35">
      <c r="C84">
        <v>82</v>
      </c>
    </row>
    <row r="85" spans="3:3" x14ac:dyDescent="0.35">
      <c r="C85">
        <v>83</v>
      </c>
    </row>
    <row r="86" spans="3:3" x14ac:dyDescent="0.35">
      <c r="C86">
        <v>84</v>
      </c>
    </row>
    <row r="87" spans="3:3" x14ac:dyDescent="0.35">
      <c r="C87">
        <v>85</v>
      </c>
    </row>
    <row r="88" spans="3:3" x14ac:dyDescent="0.35">
      <c r="C88">
        <v>86</v>
      </c>
    </row>
    <row r="89" spans="3:3" x14ac:dyDescent="0.35">
      <c r="C89">
        <v>87</v>
      </c>
    </row>
    <row r="90" spans="3:3" x14ac:dyDescent="0.35">
      <c r="C90">
        <v>88</v>
      </c>
    </row>
    <row r="91" spans="3:3" x14ac:dyDescent="0.35">
      <c r="C91">
        <v>89</v>
      </c>
    </row>
    <row r="92" spans="3:3" x14ac:dyDescent="0.35">
      <c r="C92">
        <v>90</v>
      </c>
    </row>
    <row r="93" spans="3:3" x14ac:dyDescent="0.35">
      <c r="C93">
        <v>91</v>
      </c>
    </row>
    <row r="94" spans="3:3" x14ac:dyDescent="0.35">
      <c r="C94">
        <v>92</v>
      </c>
    </row>
    <row r="95" spans="3:3" x14ac:dyDescent="0.35">
      <c r="C95">
        <v>93</v>
      </c>
    </row>
    <row r="96" spans="3:3" x14ac:dyDescent="0.35">
      <c r="C96">
        <v>94</v>
      </c>
    </row>
    <row r="97" spans="3:3" x14ac:dyDescent="0.35">
      <c r="C97">
        <v>95</v>
      </c>
    </row>
    <row r="98" spans="3:3" x14ac:dyDescent="0.35">
      <c r="C98">
        <v>96</v>
      </c>
    </row>
    <row r="99" spans="3:3" x14ac:dyDescent="0.35">
      <c r="C99">
        <v>97</v>
      </c>
    </row>
    <row r="100" spans="3:3" x14ac:dyDescent="0.35">
      <c r="C100">
        <v>98</v>
      </c>
    </row>
    <row r="101" spans="3:3" x14ac:dyDescent="0.35">
      <c r="C101">
        <v>99</v>
      </c>
    </row>
    <row r="102" spans="3:3" x14ac:dyDescent="0.35">
      <c r="C102">
        <v>100</v>
      </c>
    </row>
    <row r="103" spans="3:3" x14ac:dyDescent="0.35">
      <c r="C103">
        <v>101</v>
      </c>
    </row>
    <row r="104" spans="3:3" x14ac:dyDescent="0.35">
      <c r="C104">
        <v>102</v>
      </c>
    </row>
    <row r="105" spans="3:3" x14ac:dyDescent="0.35">
      <c r="C105">
        <v>103</v>
      </c>
    </row>
    <row r="106" spans="3:3" x14ac:dyDescent="0.35">
      <c r="C106">
        <v>104</v>
      </c>
    </row>
    <row r="107" spans="3:3" x14ac:dyDescent="0.35">
      <c r="C107">
        <v>105</v>
      </c>
    </row>
    <row r="108" spans="3:3" x14ac:dyDescent="0.35">
      <c r="C108">
        <v>106</v>
      </c>
    </row>
    <row r="109" spans="3:3" x14ac:dyDescent="0.35">
      <c r="C109">
        <v>107</v>
      </c>
    </row>
    <row r="110" spans="3:3" x14ac:dyDescent="0.35">
      <c r="C110">
        <v>108</v>
      </c>
    </row>
    <row r="111" spans="3:3" x14ac:dyDescent="0.35">
      <c r="C111">
        <v>109</v>
      </c>
    </row>
    <row r="112" spans="3:3" x14ac:dyDescent="0.35">
      <c r="C112">
        <v>110</v>
      </c>
    </row>
    <row r="113" spans="3:3" x14ac:dyDescent="0.35">
      <c r="C113">
        <v>111</v>
      </c>
    </row>
    <row r="114" spans="3:3" x14ac:dyDescent="0.35">
      <c r="C114">
        <v>112</v>
      </c>
    </row>
    <row r="115" spans="3:3" x14ac:dyDescent="0.35">
      <c r="C115">
        <v>113</v>
      </c>
    </row>
    <row r="116" spans="3:3" x14ac:dyDescent="0.35">
      <c r="C116">
        <v>114</v>
      </c>
    </row>
    <row r="117" spans="3:3" x14ac:dyDescent="0.35">
      <c r="C117">
        <v>115</v>
      </c>
    </row>
    <row r="118" spans="3:3" x14ac:dyDescent="0.35">
      <c r="C118">
        <v>116</v>
      </c>
    </row>
    <row r="119" spans="3:3" x14ac:dyDescent="0.35">
      <c r="C119">
        <v>117</v>
      </c>
    </row>
    <row r="120" spans="3:3" x14ac:dyDescent="0.35">
      <c r="C120">
        <v>118</v>
      </c>
    </row>
    <row r="121" spans="3:3" x14ac:dyDescent="0.35">
      <c r="C121">
        <v>119</v>
      </c>
    </row>
    <row r="122" spans="3:3" x14ac:dyDescent="0.35">
      <c r="C122">
        <v>120</v>
      </c>
    </row>
    <row r="123" spans="3:3" x14ac:dyDescent="0.35">
      <c r="C123">
        <v>121</v>
      </c>
    </row>
    <row r="124" spans="3:3" x14ac:dyDescent="0.35">
      <c r="C124">
        <v>122</v>
      </c>
    </row>
    <row r="125" spans="3:3" x14ac:dyDescent="0.35">
      <c r="C125">
        <v>123</v>
      </c>
    </row>
    <row r="126" spans="3:3" x14ac:dyDescent="0.35">
      <c r="C126">
        <v>124</v>
      </c>
    </row>
    <row r="127" spans="3:3" x14ac:dyDescent="0.35">
      <c r="C127">
        <v>125</v>
      </c>
    </row>
    <row r="128" spans="3:3" x14ac:dyDescent="0.35">
      <c r="C128">
        <v>126</v>
      </c>
    </row>
    <row r="129" spans="3:3" x14ac:dyDescent="0.35">
      <c r="C129">
        <v>127</v>
      </c>
    </row>
    <row r="130" spans="3:3" x14ac:dyDescent="0.35">
      <c r="C130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H74"/>
  <sheetViews>
    <sheetView showGridLines="0" showRowColHeaders="0" topLeftCell="A57" workbookViewId="0">
      <selection activeCell="E36" sqref="E36"/>
    </sheetView>
  </sheetViews>
  <sheetFormatPr defaultRowHeight="14.5" x14ac:dyDescent="0.35"/>
  <cols>
    <col min="2" max="2" width="19" customWidth="1"/>
    <col min="3" max="3" width="69.1796875" customWidth="1"/>
    <col min="4" max="4" width="10.54296875" customWidth="1"/>
    <col min="6" max="6" width="10.81640625" customWidth="1"/>
  </cols>
  <sheetData>
    <row r="1" spans="2:8" hidden="1" x14ac:dyDescent="0.35">
      <c r="B1">
        <f>IF('Panel and system definition'!L25="HS2016", 1, IF('Panel and system definition'!L25="HS2032", 2, IF('Panel and system definition'!L25="HS2064", 3, IF('Panel and system definition'!L25="HS2128", 4, 5))))</f>
        <v>1</v>
      </c>
      <c r="C1" t="s">
        <v>52</v>
      </c>
    </row>
    <row r="2" spans="2:8" hidden="1" x14ac:dyDescent="0.35">
      <c r="B2">
        <f>IF('Panel and system definition'!M37="Yes", 1, 0)</f>
        <v>1</v>
      </c>
      <c r="C2" t="s">
        <v>211</v>
      </c>
    </row>
    <row r="3" spans="2:8" hidden="1" x14ac:dyDescent="0.35">
      <c r="B3" s="1">
        <f>IF('Panel and system definition'!B40="Phoneline", 1, IF('Panel and system definition'!B40="IP", 2, IF('Panel and system definition'!B40="HSPA (Cellular)", 3, IF('Panel and system definition'!B40="IP and GSM", 4, IF('Panel and system definition'!B40="Alarm.com AT&amp;T", 5, 6)))))</f>
        <v>6</v>
      </c>
      <c r="C3" t="s">
        <v>216</v>
      </c>
    </row>
    <row r="4" spans="2:8" hidden="1" x14ac:dyDescent="0.35">
      <c r="B4">
        <f>IF('Panel and system definition'!D40="Yes", 1, 0)</f>
        <v>0</v>
      </c>
      <c r="C4" t="s">
        <v>219</v>
      </c>
    </row>
    <row r="5" spans="2:8" hidden="1" x14ac:dyDescent="0.35">
      <c r="B5" s="23">
        <f>IF('Panel and system definition'!B6&gt;=1, 1, 0)</f>
        <v>0</v>
      </c>
      <c r="C5" t="s">
        <v>220</v>
      </c>
    </row>
    <row r="6" spans="2:8" x14ac:dyDescent="0.35">
      <c r="B6" s="23"/>
    </row>
    <row r="7" spans="2:8" ht="52" x14ac:dyDescent="0.35">
      <c r="B7" s="99" t="s">
        <v>70</v>
      </c>
      <c r="C7" s="100" t="s">
        <v>71</v>
      </c>
      <c r="D7" s="101" t="s">
        <v>72</v>
      </c>
      <c r="E7" s="102" t="s">
        <v>212</v>
      </c>
      <c r="F7" s="101" t="s">
        <v>213</v>
      </c>
      <c r="H7" t="s">
        <v>267</v>
      </c>
    </row>
    <row r="8" spans="2:8" x14ac:dyDescent="0.35">
      <c r="B8" s="13" t="s">
        <v>221</v>
      </c>
      <c r="C8" s="24" t="s">
        <v>266</v>
      </c>
      <c r="D8" s="7">
        <v>16.2</v>
      </c>
      <c r="E8" s="22">
        <f>+E43+E46</f>
        <v>0</v>
      </c>
      <c r="F8" s="25">
        <f t="shared" ref="F8:F51" si="0">+E8*D8</f>
        <v>0</v>
      </c>
      <c r="H8" s="49" t="s">
        <v>256</v>
      </c>
    </row>
    <row r="9" spans="2:8" ht="25" x14ac:dyDescent="0.35">
      <c r="B9" s="8" t="s">
        <v>77</v>
      </c>
      <c r="C9" s="9" t="s">
        <v>76</v>
      </c>
      <c r="D9" s="7">
        <v>163.62</v>
      </c>
      <c r="E9" s="26">
        <f>IF(B3=3, (IF(B4=0, 1, 0)), 0)</f>
        <v>0</v>
      </c>
      <c r="F9" s="25">
        <f t="shared" ref="F9" si="1">+E9*D9</f>
        <v>0</v>
      </c>
    </row>
    <row r="10" spans="2:8" ht="25" x14ac:dyDescent="0.35">
      <c r="B10" s="8" t="s">
        <v>75</v>
      </c>
      <c r="C10" s="9" t="s">
        <v>76</v>
      </c>
      <c r="D10" s="7">
        <v>172.125</v>
      </c>
      <c r="E10" s="26">
        <f>IF(B3=3, (IF(B4=1, 1, 0)), 0)</f>
        <v>0</v>
      </c>
      <c r="F10" s="25">
        <f t="shared" si="0"/>
        <v>0</v>
      </c>
    </row>
    <row r="11" spans="2:8" ht="25" x14ac:dyDescent="0.35">
      <c r="B11" s="5" t="s">
        <v>79</v>
      </c>
      <c r="C11" s="10" t="s">
        <v>80</v>
      </c>
      <c r="D11" s="7">
        <v>202.5</v>
      </c>
      <c r="E11" s="26">
        <f>IF(B3=5, (IF(B5=0, 1, 0)), 0)</f>
        <v>0</v>
      </c>
      <c r="F11" s="25">
        <f t="shared" si="0"/>
        <v>0</v>
      </c>
    </row>
    <row r="12" spans="2:8" ht="37.5" x14ac:dyDescent="0.35">
      <c r="B12" s="5" t="s">
        <v>81</v>
      </c>
      <c r="C12" s="10" t="s">
        <v>82</v>
      </c>
      <c r="D12" s="7">
        <v>222.75</v>
      </c>
      <c r="E12" s="26">
        <f>IF(B3=5, (IF(B5=1, 1, 0)), 0)</f>
        <v>0</v>
      </c>
      <c r="F12" s="25">
        <f t="shared" si="0"/>
        <v>0</v>
      </c>
    </row>
    <row r="13" spans="2:8" ht="37.5" x14ac:dyDescent="0.35">
      <c r="B13" s="20" t="s">
        <v>259</v>
      </c>
      <c r="C13" s="6" t="s">
        <v>260</v>
      </c>
      <c r="D13" s="7">
        <v>202.5</v>
      </c>
      <c r="E13" s="26">
        <f>IF(B3=6, (IF(B5=1, 1, 0)), 0)</f>
        <v>0</v>
      </c>
      <c r="F13" s="25">
        <f t="shared" si="0"/>
        <v>0</v>
      </c>
    </row>
    <row r="14" spans="2:8" ht="37.5" x14ac:dyDescent="0.35">
      <c r="B14" s="5" t="s">
        <v>227</v>
      </c>
      <c r="C14" s="19" t="s">
        <v>228</v>
      </c>
      <c r="D14" s="7">
        <v>11.48</v>
      </c>
      <c r="E14" s="26">
        <f>+SUM('Panel and system definition'!F18:H18)</f>
        <v>0</v>
      </c>
      <c r="F14" s="25">
        <f t="shared" si="0"/>
        <v>0</v>
      </c>
    </row>
    <row r="15" spans="2:8" x14ac:dyDescent="0.35">
      <c r="B15" s="8" t="s">
        <v>83</v>
      </c>
      <c r="C15" s="9" t="s">
        <v>84</v>
      </c>
      <c r="D15" s="7">
        <v>46.71</v>
      </c>
      <c r="E15" s="22">
        <f>IF(AND(B1=1, B2=0), 1, 0)</f>
        <v>0</v>
      </c>
      <c r="F15" s="25">
        <f t="shared" si="0"/>
        <v>0</v>
      </c>
    </row>
    <row r="16" spans="2:8" x14ac:dyDescent="0.35">
      <c r="B16" s="8" t="s">
        <v>85</v>
      </c>
      <c r="C16" s="9" t="s">
        <v>86</v>
      </c>
      <c r="D16" s="7">
        <v>46.71</v>
      </c>
      <c r="E16" s="22">
        <f>IF(AND(B1=1, B2=1), 1, 0)</f>
        <v>1</v>
      </c>
      <c r="F16" s="25">
        <f t="shared" si="0"/>
        <v>46.71</v>
      </c>
    </row>
    <row r="17" spans="2:6" x14ac:dyDescent="0.35">
      <c r="B17" s="8" t="s">
        <v>91</v>
      </c>
      <c r="C17" s="9" t="s">
        <v>92</v>
      </c>
      <c r="D17" s="7">
        <v>60.521326935053445</v>
      </c>
      <c r="E17" s="22">
        <f>IF(AND(B1=2, B2=0), 1, 0)</f>
        <v>0</v>
      </c>
      <c r="F17" s="25">
        <f t="shared" si="0"/>
        <v>0</v>
      </c>
    </row>
    <row r="18" spans="2:6" x14ac:dyDescent="0.35">
      <c r="B18" s="8" t="s">
        <v>93</v>
      </c>
      <c r="C18" s="9" t="s">
        <v>94</v>
      </c>
      <c r="D18" s="7">
        <v>60.520500000000006</v>
      </c>
      <c r="E18" s="22">
        <f>IF(AND(B1=2, B2=1), 1, 0)</f>
        <v>0</v>
      </c>
      <c r="F18" s="25">
        <f t="shared" si="0"/>
        <v>0</v>
      </c>
    </row>
    <row r="19" spans="2:6" x14ac:dyDescent="0.35">
      <c r="B19" s="8" t="s">
        <v>99</v>
      </c>
      <c r="C19" s="9" t="s">
        <v>100</v>
      </c>
      <c r="D19" s="7">
        <v>77.0715</v>
      </c>
      <c r="E19" s="22">
        <f>IF(AND(B1=3, B2=0), 1, 0)</f>
        <v>0</v>
      </c>
      <c r="F19" s="25">
        <f t="shared" si="0"/>
        <v>0</v>
      </c>
    </row>
    <row r="20" spans="2:6" x14ac:dyDescent="0.35">
      <c r="B20" s="8" t="s">
        <v>101</v>
      </c>
      <c r="C20" s="9" t="s">
        <v>102</v>
      </c>
      <c r="D20" s="7">
        <v>77.072861865234415</v>
      </c>
      <c r="E20" s="22">
        <f>IF(AND(B1=3, B2=1), 1, 0)</f>
        <v>0</v>
      </c>
      <c r="F20" s="25">
        <f t="shared" si="0"/>
        <v>0</v>
      </c>
    </row>
    <row r="21" spans="2:6" x14ac:dyDescent="0.35">
      <c r="B21" s="8" t="s">
        <v>107</v>
      </c>
      <c r="C21" s="9" t="s">
        <v>108</v>
      </c>
      <c r="D21" s="7">
        <v>198.30149999999998</v>
      </c>
      <c r="E21" s="22">
        <f>IF(AND(B1=4, B2=0), 1, 0)</f>
        <v>0</v>
      </c>
      <c r="F21" s="25">
        <f t="shared" si="0"/>
        <v>0</v>
      </c>
    </row>
    <row r="22" spans="2:6" x14ac:dyDescent="0.35">
      <c r="B22" s="8" t="s">
        <v>109</v>
      </c>
      <c r="C22" s="9" t="s">
        <v>110</v>
      </c>
      <c r="D22" s="7">
        <v>198.30149999999998</v>
      </c>
      <c r="E22" s="22">
        <f>IF(AND(B1=4, B2=1), 1, 0)</f>
        <v>0</v>
      </c>
      <c r="F22" s="25">
        <f t="shared" si="0"/>
        <v>0</v>
      </c>
    </row>
    <row r="23" spans="2:6" ht="25" x14ac:dyDescent="0.35">
      <c r="B23" s="8" t="s">
        <v>132</v>
      </c>
      <c r="C23" s="9" t="s">
        <v>133</v>
      </c>
      <c r="D23" s="7">
        <v>95.777204259406119</v>
      </c>
      <c r="E23" s="22">
        <f>+'Panel and system definition'!B18</f>
        <v>0</v>
      </c>
      <c r="F23" s="25">
        <f t="shared" si="0"/>
        <v>0</v>
      </c>
    </row>
    <row r="24" spans="2:6" ht="25" x14ac:dyDescent="0.35">
      <c r="B24" s="8" t="s">
        <v>135</v>
      </c>
      <c r="C24" s="9" t="s">
        <v>136</v>
      </c>
      <c r="D24" s="7">
        <v>102.53250000000001</v>
      </c>
      <c r="E24" s="22">
        <f>+'Panel and system definition'!C18</f>
        <v>0</v>
      </c>
      <c r="F24" s="25">
        <f t="shared" si="0"/>
        <v>0</v>
      </c>
    </row>
    <row r="25" spans="2:6" ht="37.5" x14ac:dyDescent="0.35">
      <c r="B25" s="8" t="s">
        <v>138</v>
      </c>
      <c r="C25" s="9" t="s">
        <v>139</v>
      </c>
      <c r="D25" s="7">
        <v>118.66936133313372</v>
      </c>
      <c r="E25" s="22">
        <f>+'Panel and system definition'!D18</f>
        <v>1</v>
      </c>
      <c r="F25" s="25">
        <f t="shared" si="0"/>
        <v>118.66936133313372</v>
      </c>
    </row>
    <row r="26" spans="2:6" ht="37.5" x14ac:dyDescent="0.35">
      <c r="B26" s="8" t="s">
        <v>32</v>
      </c>
      <c r="C26" s="9" t="s">
        <v>140</v>
      </c>
      <c r="D26" s="7">
        <v>125.41500000000002</v>
      </c>
      <c r="E26" s="22">
        <f>+'Panel and system definition'!E18</f>
        <v>0</v>
      </c>
      <c r="F26" s="25">
        <f t="shared" si="0"/>
        <v>0</v>
      </c>
    </row>
    <row r="27" spans="2:6" ht="37.5" x14ac:dyDescent="0.35">
      <c r="B27" s="8" t="s">
        <v>141</v>
      </c>
      <c r="C27" s="9" t="s">
        <v>142</v>
      </c>
      <c r="D27" s="7">
        <v>125.41500000000002</v>
      </c>
      <c r="E27" s="22">
        <f>+'Panel and system definition'!E18</f>
        <v>0</v>
      </c>
      <c r="F27" s="25">
        <f t="shared" si="0"/>
        <v>0</v>
      </c>
    </row>
    <row r="28" spans="2:6" ht="25" x14ac:dyDescent="0.35">
      <c r="B28" s="11" t="s">
        <v>143</v>
      </c>
      <c r="C28" s="9" t="s">
        <v>144</v>
      </c>
      <c r="D28" s="7">
        <v>109.35000000000001</v>
      </c>
      <c r="E28" s="22">
        <f>+'Panel and system definition'!F18</f>
        <v>0</v>
      </c>
      <c r="F28" s="25">
        <f t="shared" si="0"/>
        <v>0</v>
      </c>
    </row>
    <row r="29" spans="2:6" ht="29" x14ac:dyDescent="0.35">
      <c r="B29" s="5" t="s">
        <v>145</v>
      </c>
      <c r="C29" s="12" t="s">
        <v>146</v>
      </c>
      <c r="D29" s="7">
        <v>17.55</v>
      </c>
      <c r="E29" s="117"/>
      <c r="F29" s="25">
        <f t="shared" si="0"/>
        <v>0</v>
      </c>
    </row>
    <row r="30" spans="2:6" ht="25" x14ac:dyDescent="0.35">
      <c r="B30" s="11" t="s">
        <v>147</v>
      </c>
      <c r="C30" s="9" t="s">
        <v>148</v>
      </c>
      <c r="D30" s="7">
        <v>128.25</v>
      </c>
      <c r="E30" s="22">
        <f>+'Panel and system definition'!G18</f>
        <v>0</v>
      </c>
      <c r="F30" s="25">
        <f t="shared" si="0"/>
        <v>0</v>
      </c>
    </row>
    <row r="31" spans="2:6" ht="37.5" x14ac:dyDescent="0.35">
      <c r="B31" s="11" t="s">
        <v>149</v>
      </c>
      <c r="C31" s="9" t="s">
        <v>150</v>
      </c>
      <c r="D31" s="7">
        <v>155.25</v>
      </c>
      <c r="E31" s="22">
        <f>+'Panel and system definition'!H18</f>
        <v>0</v>
      </c>
      <c r="F31" s="25">
        <f t="shared" si="0"/>
        <v>0</v>
      </c>
    </row>
    <row r="32" spans="2:6" x14ac:dyDescent="0.35">
      <c r="B32" s="13" t="s">
        <v>36</v>
      </c>
      <c r="C32" s="14" t="s">
        <v>151</v>
      </c>
      <c r="D32" s="7">
        <v>194.4</v>
      </c>
      <c r="E32" s="22">
        <f>+'Panel and system definition'!I18</f>
        <v>2</v>
      </c>
      <c r="F32" s="25">
        <f t="shared" si="0"/>
        <v>388.8</v>
      </c>
    </row>
    <row r="33" spans="2:6" x14ac:dyDescent="0.35">
      <c r="B33" s="13" t="s">
        <v>37</v>
      </c>
      <c r="C33" s="14" t="s">
        <v>152</v>
      </c>
      <c r="D33" s="7">
        <v>194.4</v>
      </c>
      <c r="E33" s="22">
        <f>+'Panel and system definition'!J18</f>
        <v>0</v>
      </c>
      <c r="F33" s="25">
        <f t="shared" si="0"/>
        <v>0</v>
      </c>
    </row>
    <row r="34" spans="2:6" ht="25" x14ac:dyDescent="0.35">
      <c r="B34" s="8" t="s">
        <v>53</v>
      </c>
      <c r="C34" s="9" t="s">
        <v>157</v>
      </c>
      <c r="D34" s="7">
        <v>28.234354083147412</v>
      </c>
      <c r="E34" s="22">
        <f>+'Panel and system definition'!B25</f>
        <v>0</v>
      </c>
      <c r="F34" s="25">
        <f t="shared" si="0"/>
        <v>0</v>
      </c>
    </row>
    <row r="35" spans="2:6" ht="25" x14ac:dyDescent="0.35">
      <c r="B35" s="8" t="s">
        <v>56</v>
      </c>
      <c r="C35" s="9" t="s">
        <v>158</v>
      </c>
      <c r="D35" s="7">
        <v>59.838337081005527</v>
      </c>
      <c r="E35" s="34">
        <f>+IF('Panel and system definition'!B22-1&lt;1, 0, 'Panel and system definition'!B22-1)</f>
        <v>0</v>
      </c>
      <c r="F35" s="25">
        <f t="shared" si="0"/>
        <v>0</v>
      </c>
    </row>
    <row r="36" spans="2:6" ht="25" x14ac:dyDescent="0.35">
      <c r="B36" s="8" t="s">
        <v>54</v>
      </c>
      <c r="C36" s="9" t="s">
        <v>159</v>
      </c>
      <c r="D36" s="7">
        <v>30.460721316507513</v>
      </c>
      <c r="E36" s="117"/>
      <c r="F36" s="25">
        <f t="shared" si="0"/>
        <v>0</v>
      </c>
    </row>
    <row r="37" spans="2:6" ht="25" x14ac:dyDescent="0.35">
      <c r="B37" s="8" t="s">
        <v>55</v>
      </c>
      <c r="C37" s="9" t="s">
        <v>160</v>
      </c>
      <c r="D37" s="7">
        <v>49.913060520904729</v>
      </c>
      <c r="E37" s="22">
        <f>+'Current calculation'!G25</f>
        <v>1</v>
      </c>
      <c r="F37" s="25">
        <f t="shared" si="0"/>
        <v>49.913060520904729</v>
      </c>
    </row>
    <row r="38" spans="2:6" x14ac:dyDescent="0.35">
      <c r="B38" s="16" t="s">
        <v>161</v>
      </c>
      <c r="C38" s="17" t="s">
        <v>162</v>
      </c>
      <c r="D38" s="7">
        <v>74.25</v>
      </c>
      <c r="E38" s="117"/>
      <c r="F38" s="25">
        <f t="shared" si="0"/>
        <v>0</v>
      </c>
    </row>
    <row r="39" spans="2:6" ht="25" x14ac:dyDescent="0.35">
      <c r="B39" s="8" t="s">
        <v>163</v>
      </c>
      <c r="C39" s="9" t="s">
        <v>164</v>
      </c>
      <c r="D39" s="7">
        <v>77.274000000000001</v>
      </c>
      <c r="E39" s="22">
        <f>+'Current calculation'!F17</f>
        <v>0</v>
      </c>
      <c r="F39" s="25">
        <f t="shared" si="0"/>
        <v>0</v>
      </c>
    </row>
    <row r="40" spans="2:6" x14ac:dyDescent="0.35">
      <c r="B40" s="18" t="s">
        <v>222</v>
      </c>
      <c r="C40" s="19" t="s">
        <v>165</v>
      </c>
      <c r="D40" s="27">
        <v>128.25</v>
      </c>
      <c r="E40" s="26">
        <f>+'Panel and system definition'!B6</f>
        <v>0</v>
      </c>
      <c r="F40" s="25">
        <f t="shared" si="0"/>
        <v>0</v>
      </c>
    </row>
    <row r="41" spans="2:6" x14ac:dyDescent="0.35">
      <c r="B41" s="8" t="s">
        <v>229</v>
      </c>
      <c r="C41" s="9" t="s">
        <v>230</v>
      </c>
      <c r="D41" s="28">
        <v>15</v>
      </c>
      <c r="E41" s="9">
        <f>IF((SUM('Panel and system definition'!G18:J18)+'Panel and system definition'!E18+'Panel and system definition'!C18)&gt;0, 1, 0)</f>
        <v>1</v>
      </c>
      <c r="F41" s="25">
        <f t="shared" si="0"/>
        <v>15</v>
      </c>
    </row>
    <row r="42" spans="2:6" x14ac:dyDescent="0.35">
      <c r="B42" s="8" t="s">
        <v>240</v>
      </c>
      <c r="C42" s="9" t="s">
        <v>241</v>
      </c>
      <c r="D42" s="7">
        <v>23.625</v>
      </c>
      <c r="E42" s="22">
        <f>IF('Panel and system definition'!F40="Yes", 1, 0)</f>
        <v>1</v>
      </c>
      <c r="F42" s="25">
        <f t="shared" si="0"/>
        <v>23.625</v>
      </c>
    </row>
    <row r="43" spans="2:6" x14ac:dyDescent="0.35">
      <c r="B43" s="8" t="s">
        <v>14</v>
      </c>
      <c r="C43" s="9" t="s">
        <v>166</v>
      </c>
      <c r="D43" s="7">
        <v>51.499395</v>
      </c>
      <c r="E43" s="22">
        <f>+'Panel and system definition'!N12</f>
        <v>0</v>
      </c>
      <c r="F43" s="25">
        <f t="shared" si="0"/>
        <v>0</v>
      </c>
    </row>
    <row r="44" spans="2:6" x14ac:dyDescent="0.35">
      <c r="B44" s="8" t="s">
        <v>0</v>
      </c>
      <c r="C44" s="9" t="s">
        <v>167</v>
      </c>
      <c r="D44" s="7">
        <v>58.180545000000009</v>
      </c>
      <c r="E44" s="22">
        <f>+'Panel and system definition'!C6</f>
        <v>5</v>
      </c>
      <c r="F44" s="25">
        <f t="shared" si="0"/>
        <v>290.90272500000003</v>
      </c>
    </row>
    <row r="45" spans="2:6" x14ac:dyDescent="0.35">
      <c r="B45" s="8" t="s">
        <v>13</v>
      </c>
      <c r="C45" s="9" t="s">
        <v>168</v>
      </c>
      <c r="D45" s="7">
        <v>44.9955</v>
      </c>
      <c r="E45" s="22">
        <f>+'Panel and system definition'!K12</f>
        <v>0</v>
      </c>
      <c r="F45" s="25">
        <f t="shared" si="0"/>
        <v>0</v>
      </c>
    </row>
    <row r="46" spans="2:6" x14ac:dyDescent="0.35">
      <c r="B46" s="8" t="s">
        <v>169</v>
      </c>
      <c r="C46" s="9" t="s">
        <v>170</v>
      </c>
      <c r="D46" s="7">
        <v>108.87547499999999</v>
      </c>
      <c r="E46" s="22">
        <f>+'Panel and system definition'!O12</f>
        <v>0</v>
      </c>
      <c r="F46" s="25">
        <f t="shared" si="0"/>
        <v>0</v>
      </c>
    </row>
    <row r="47" spans="2:6" x14ac:dyDescent="0.35">
      <c r="B47" s="8" t="s">
        <v>9</v>
      </c>
      <c r="C47" s="9" t="s">
        <v>171</v>
      </c>
      <c r="D47" s="7">
        <v>75.224295000000012</v>
      </c>
      <c r="E47" s="22">
        <f>+'Panel and system definition'!G12</f>
        <v>0</v>
      </c>
      <c r="F47" s="25">
        <f t="shared" si="0"/>
        <v>0</v>
      </c>
    </row>
    <row r="48" spans="2:6" x14ac:dyDescent="0.35">
      <c r="B48" s="8" t="s">
        <v>12</v>
      </c>
      <c r="C48" s="9" t="s">
        <v>172</v>
      </c>
      <c r="D48" s="7">
        <v>71.632637471647826</v>
      </c>
      <c r="E48" s="22">
        <f>+'Panel and system definition'!J12</f>
        <v>0</v>
      </c>
      <c r="F48" s="25">
        <f t="shared" si="0"/>
        <v>0</v>
      </c>
    </row>
    <row r="49" spans="2:6" x14ac:dyDescent="0.35">
      <c r="B49" s="8" t="s">
        <v>11</v>
      </c>
      <c r="C49" s="9" t="s">
        <v>173</v>
      </c>
      <c r="D49" s="7">
        <v>65.216204999999988</v>
      </c>
      <c r="E49" s="22">
        <f>+'Panel and system definition'!I12</f>
        <v>0</v>
      </c>
      <c r="F49" s="25">
        <f t="shared" si="0"/>
        <v>0</v>
      </c>
    </row>
    <row r="50" spans="2:6" x14ac:dyDescent="0.35">
      <c r="B50" s="8" t="s">
        <v>174</v>
      </c>
      <c r="C50" s="9" t="s">
        <v>175</v>
      </c>
      <c r="D50" s="7">
        <v>92.240775000000014</v>
      </c>
      <c r="E50" s="22">
        <f>+'Panel and system definition'!H22</f>
        <v>1</v>
      </c>
      <c r="F50" s="25">
        <f t="shared" si="0"/>
        <v>92.240775000000014</v>
      </c>
    </row>
    <row r="51" spans="2:6" x14ac:dyDescent="0.35">
      <c r="B51" s="8" t="s">
        <v>2</v>
      </c>
      <c r="C51" s="9" t="s">
        <v>176</v>
      </c>
      <c r="D51" s="7">
        <v>44.9955</v>
      </c>
      <c r="E51" s="22">
        <f>+'Panel and system definition'!E6</f>
        <v>0</v>
      </c>
      <c r="F51" s="25">
        <f t="shared" si="0"/>
        <v>0</v>
      </c>
    </row>
    <row r="52" spans="2:6" x14ac:dyDescent="0.35">
      <c r="B52" s="8" t="s">
        <v>10</v>
      </c>
      <c r="C52" s="9" t="s">
        <v>177</v>
      </c>
      <c r="D52" s="7">
        <v>68.829480000000004</v>
      </c>
      <c r="E52" s="22">
        <f>+'Panel and system definition'!H12</f>
        <v>0</v>
      </c>
      <c r="F52" s="25">
        <f t="shared" ref="F52:F71" si="2">+E52*D52</f>
        <v>0</v>
      </c>
    </row>
    <row r="53" spans="2:6" x14ac:dyDescent="0.35">
      <c r="B53" s="8" t="s">
        <v>178</v>
      </c>
      <c r="C53" s="9" t="s">
        <v>179</v>
      </c>
      <c r="D53" s="7">
        <v>34.073864999999998</v>
      </c>
      <c r="E53" s="26">
        <f>+'Panel and system definition'!L6</f>
        <v>0</v>
      </c>
      <c r="F53" s="25">
        <f t="shared" si="2"/>
        <v>0</v>
      </c>
    </row>
    <row r="54" spans="2:6" ht="25" x14ac:dyDescent="0.35">
      <c r="B54" s="20" t="s">
        <v>1</v>
      </c>
      <c r="C54" s="6" t="s">
        <v>180</v>
      </c>
      <c r="D54" s="7">
        <v>105.3</v>
      </c>
      <c r="E54" s="22">
        <f>+'Panel and system definition'!D6</f>
        <v>0</v>
      </c>
      <c r="F54" s="25">
        <f t="shared" si="2"/>
        <v>0</v>
      </c>
    </row>
    <row r="55" spans="2:6" x14ac:dyDescent="0.35">
      <c r="B55" s="8" t="s">
        <v>8</v>
      </c>
      <c r="C55" s="9" t="s">
        <v>181</v>
      </c>
      <c r="D55" s="7">
        <v>42.445754999999998</v>
      </c>
      <c r="E55" s="22">
        <f>+'Panel and system definition'!F12</f>
        <v>0</v>
      </c>
      <c r="F55" s="25">
        <f t="shared" si="2"/>
        <v>0</v>
      </c>
    </row>
    <row r="56" spans="2:6" x14ac:dyDescent="0.35">
      <c r="B56" s="8" t="s">
        <v>182</v>
      </c>
      <c r="C56" s="9" t="s">
        <v>183</v>
      </c>
      <c r="D56" s="7">
        <v>34.305660000000003</v>
      </c>
      <c r="E56" s="26">
        <f>+'Panel and system definition'!O6</f>
        <v>0</v>
      </c>
      <c r="F56" s="25">
        <f t="shared" si="2"/>
        <v>0</v>
      </c>
    </row>
    <row r="57" spans="2:6" x14ac:dyDescent="0.35">
      <c r="B57" s="8" t="s">
        <v>184</v>
      </c>
      <c r="C57" s="9" t="s">
        <v>185</v>
      </c>
      <c r="D57" s="7">
        <v>26.30563431254809</v>
      </c>
      <c r="E57" s="26">
        <f>+'Panel and system definition'!M6</f>
        <v>0</v>
      </c>
      <c r="F57" s="25">
        <f t="shared" si="2"/>
        <v>0</v>
      </c>
    </row>
    <row r="58" spans="2:6" ht="25" x14ac:dyDescent="0.35">
      <c r="B58" s="20" t="s">
        <v>65</v>
      </c>
      <c r="C58" s="6" t="s">
        <v>186</v>
      </c>
      <c r="D58" s="7">
        <v>268.65000000000003</v>
      </c>
      <c r="E58" s="22">
        <f>+'Panel and system definition'!I6</f>
        <v>0</v>
      </c>
      <c r="F58" s="25">
        <f t="shared" si="2"/>
        <v>0</v>
      </c>
    </row>
    <row r="59" spans="2:6" x14ac:dyDescent="0.35">
      <c r="B59" s="8" t="s">
        <v>6</v>
      </c>
      <c r="C59" s="9" t="s">
        <v>187</v>
      </c>
      <c r="D59" s="7">
        <v>25.920135000000002</v>
      </c>
      <c r="E59" s="22">
        <f>+'Panel and system definition'!B12</f>
        <v>9</v>
      </c>
      <c r="F59" s="25">
        <f t="shared" si="2"/>
        <v>233.28121500000003</v>
      </c>
    </row>
    <row r="60" spans="2:6" x14ac:dyDescent="0.35">
      <c r="B60" s="5" t="s">
        <v>188</v>
      </c>
      <c r="C60" s="9" t="s">
        <v>189</v>
      </c>
      <c r="D60" s="7">
        <v>25.92</v>
      </c>
      <c r="E60" s="26">
        <f>+'Panel and system definition'!$C$12</f>
        <v>0</v>
      </c>
      <c r="F60" s="25">
        <f t="shared" si="2"/>
        <v>0</v>
      </c>
    </row>
    <row r="61" spans="2:6" x14ac:dyDescent="0.35">
      <c r="B61" s="8" t="s">
        <v>190</v>
      </c>
      <c r="C61" s="9" t="s">
        <v>191</v>
      </c>
      <c r="D61" s="7">
        <v>23.070420000000002</v>
      </c>
      <c r="E61" s="26">
        <f>+'Panel and system definition'!N6</f>
        <v>0</v>
      </c>
      <c r="F61" s="25">
        <f t="shared" si="2"/>
        <v>0</v>
      </c>
    </row>
    <row r="62" spans="2:6" x14ac:dyDescent="0.35">
      <c r="B62" s="8" t="s">
        <v>4</v>
      </c>
      <c r="C62" s="9" t="s">
        <v>192</v>
      </c>
      <c r="D62" s="7">
        <v>53.176500000000004</v>
      </c>
      <c r="E62" s="22">
        <f>+'Panel and system definition'!G6</f>
        <v>0</v>
      </c>
      <c r="F62" s="25">
        <f t="shared" si="2"/>
        <v>0</v>
      </c>
    </row>
    <row r="63" spans="2:6" x14ac:dyDescent="0.35">
      <c r="B63" s="8" t="s">
        <v>7</v>
      </c>
      <c r="C63" s="9" t="s">
        <v>193</v>
      </c>
      <c r="D63" s="7">
        <v>27.406350000000003</v>
      </c>
      <c r="E63" s="22">
        <f>+'Panel and system definition'!D12</f>
        <v>0</v>
      </c>
      <c r="F63" s="25">
        <f t="shared" si="2"/>
        <v>0</v>
      </c>
    </row>
    <row r="64" spans="2:6" x14ac:dyDescent="0.35">
      <c r="B64" s="5" t="s">
        <v>194</v>
      </c>
      <c r="C64" s="9" t="s">
        <v>195</v>
      </c>
      <c r="D64" s="7">
        <v>27.405000000000001</v>
      </c>
      <c r="E64" s="22">
        <f>+'Panel and system definition'!$E$12</f>
        <v>0</v>
      </c>
      <c r="F64" s="25">
        <f t="shared" si="2"/>
        <v>0</v>
      </c>
    </row>
    <row r="65" spans="2:6" ht="25" x14ac:dyDescent="0.35">
      <c r="B65" s="8" t="s">
        <v>3</v>
      </c>
      <c r="C65" s="9" t="s">
        <v>196</v>
      </c>
      <c r="D65" s="7">
        <v>68.174999999999997</v>
      </c>
      <c r="E65" s="22">
        <f>+'Panel and system definition'!F6</f>
        <v>0</v>
      </c>
      <c r="F65" s="25">
        <f t="shared" si="2"/>
        <v>0</v>
      </c>
    </row>
    <row r="66" spans="2:6" x14ac:dyDescent="0.35">
      <c r="B66" s="8" t="s">
        <v>16</v>
      </c>
      <c r="C66" s="9" t="s">
        <v>197</v>
      </c>
      <c r="D66" s="7">
        <v>44.763704999999995</v>
      </c>
      <c r="E66" s="22">
        <f>+'Panel and system definition'!L12</f>
        <v>0</v>
      </c>
      <c r="F66" s="25">
        <f t="shared" si="2"/>
        <v>0</v>
      </c>
    </row>
    <row r="67" spans="2:6" x14ac:dyDescent="0.35">
      <c r="B67" s="8" t="s">
        <v>5</v>
      </c>
      <c r="C67" s="9" t="s">
        <v>198</v>
      </c>
      <c r="D67" s="7">
        <v>163.62</v>
      </c>
      <c r="E67" s="22">
        <f>+'Panel and system definition'!H6</f>
        <v>0</v>
      </c>
      <c r="F67" s="25">
        <f t="shared" si="2"/>
        <v>0</v>
      </c>
    </row>
    <row r="68" spans="2:6" x14ac:dyDescent="0.35">
      <c r="B68" s="5" t="s">
        <v>199</v>
      </c>
      <c r="C68" s="12" t="s">
        <v>200</v>
      </c>
      <c r="D68" s="7">
        <v>39.249000000000002</v>
      </c>
      <c r="E68" s="117"/>
      <c r="F68" s="25">
        <f t="shared" si="2"/>
        <v>0</v>
      </c>
    </row>
    <row r="69" spans="2:6" x14ac:dyDescent="0.35">
      <c r="B69" s="8" t="s">
        <v>203</v>
      </c>
      <c r="C69" s="9" t="s">
        <v>204</v>
      </c>
      <c r="D69" s="7">
        <v>206.55</v>
      </c>
      <c r="E69" s="22">
        <f>IF(B3=4, (IF(B4=0, 1, 0)), 0)</f>
        <v>0</v>
      </c>
      <c r="F69" s="25">
        <f>+E69*D69</f>
        <v>0</v>
      </c>
    </row>
    <row r="70" spans="2:6" ht="25" x14ac:dyDescent="0.35">
      <c r="B70" s="8" t="s">
        <v>201</v>
      </c>
      <c r="C70" s="9" t="s">
        <v>202</v>
      </c>
      <c r="D70" s="7">
        <v>216.55</v>
      </c>
      <c r="E70" s="22">
        <f>IF(B3=4, (IF(B4=1, 1, 0)), 0)</f>
        <v>0</v>
      </c>
      <c r="F70" s="25">
        <f t="shared" si="2"/>
        <v>0</v>
      </c>
    </row>
    <row r="71" spans="2:6" x14ac:dyDescent="0.35">
      <c r="B71" s="8" t="s">
        <v>205</v>
      </c>
      <c r="C71" s="9" t="s">
        <v>206</v>
      </c>
      <c r="D71" s="7">
        <v>95.45</v>
      </c>
      <c r="E71" s="22">
        <f>IF(B3=2, (IF(B4=0, 1, 0)), 0)</f>
        <v>0</v>
      </c>
      <c r="F71" s="25">
        <f t="shared" si="2"/>
        <v>0</v>
      </c>
    </row>
    <row r="72" spans="2:6" ht="25" x14ac:dyDescent="0.35">
      <c r="B72" s="8" t="s">
        <v>207</v>
      </c>
      <c r="C72" s="9" t="s">
        <v>208</v>
      </c>
      <c r="D72" s="7">
        <v>104.625</v>
      </c>
      <c r="E72" s="22">
        <f>IF(B3=2, (IF(B4=1, 1, 0)), 0)</f>
        <v>0</v>
      </c>
      <c r="F72" s="25">
        <f>+E72*D72</f>
        <v>0</v>
      </c>
    </row>
    <row r="73" spans="2:6" x14ac:dyDescent="0.35">
      <c r="F73" s="21"/>
    </row>
    <row r="74" spans="2:6" x14ac:dyDescent="0.35">
      <c r="E74" s="103" t="s">
        <v>63</v>
      </c>
      <c r="F74" s="104">
        <f>SUBTOTAL(9,F8:F72)</f>
        <v>1259.1421368540387</v>
      </c>
    </row>
  </sheetData>
  <sheetProtection sheet="1" objects="1" scenarios="1" selectLockedCells="1" sort="0" autoFilter="0"/>
  <autoFilter ref="B7:F72"/>
  <pageMargins left="0.25" right="0.2" top="0.25" bottom="0.25" header="0" footer="0"/>
  <pageSetup scale="75" fitToHeight="0" orientation="portrait" r:id="rId1"/>
  <ignoredErrors>
    <ignoredError sqref="E1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showGridLines="0" showRowColHeaders="0" tabSelected="1" topLeftCell="A6" workbookViewId="0">
      <selection activeCell="J7" sqref="J7"/>
    </sheetView>
  </sheetViews>
  <sheetFormatPr defaultRowHeight="14.5" x14ac:dyDescent="0.35"/>
  <cols>
    <col min="2" max="2" width="19" customWidth="1"/>
    <col min="3" max="3" width="69.1796875" customWidth="1"/>
    <col min="4" max="4" width="10.54296875" customWidth="1"/>
    <col min="6" max="6" width="10.81640625" customWidth="1"/>
  </cols>
  <sheetData>
    <row r="1" spans="2:9" hidden="1" x14ac:dyDescent="0.35">
      <c r="B1">
        <f>IF('Panel and system definition'!L25="HS2016", 1, IF('Panel and system definition'!L25="HS2032", 2, IF('Panel and system definition'!L25="HS2064", 3, IF('Panel and system definition'!L25="HS2128", 4, 5))))</f>
        <v>1</v>
      </c>
      <c r="C1" t="s">
        <v>52</v>
      </c>
    </row>
    <row r="2" spans="2:9" hidden="1" x14ac:dyDescent="0.35">
      <c r="B2">
        <f>IF('Panel and system definition'!M37="Yes", 1, 0)</f>
        <v>1</v>
      </c>
      <c r="C2" t="s">
        <v>211</v>
      </c>
    </row>
    <row r="3" spans="2:9" hidden="1" x14ac:dyDescent="0.35">
      <c r="B3" s="1">
        <f>IF('Panel and system definition'!B40="Phoneline", 1, IF('Panel and system definition'!B40="IP", 2, IF('Panel and system definition'!B40="HSPA (Cellular)", 3, IF('Panel and system definition'!B40="IP and GSM", 4, IF('Panel and system definition'!B40="Alarm.com AT&amp;T", 5, 6)))))</f>
        <v>6</v>
      </c>
      <c r="C3" t="s">
        <v>216</v>
      </c>
    </row>
    <row r="4" spans="2:9" hidden="1" x14ac:dyDescent="0.35">
      <c r="B4">
        <f>IF('Panel and system definition'!D40="Yes", 1, 0)</f>
        <v>0</v>
      </c>
      <c r="C4" t="s">
        <v>219</v>
      </c>
    </row>
    <row r="5" spans="2:9" hidden="1" x14ac:dyDescent="0.35">
      <c r="B5" s="23">
        <f>IF('Panel and system definition'!B6&gt;=1, 1, 0)</f>
        <v>0</v>
      </c>
      <c r="C5" t="s">
        <v>220</v>
      </c>
    </row>
    <row r="6" spans="2:9" x14ac:dyDescent="0.35">
      <c r="B6" s="23"/>
      <c r="H6" s="107"/>
      <c r="I6" s="107"/>
    </row>
    <row r="7" spans="2:9" ht="39" x14ac:dyDescent="0.35">
      <c r="B7" s="99" t="s">
        <v>70</v>
      </c>
      <c r="C7" s="100" t="s">
        <v>71</v>
      </c>
      <c r="D7" s="101" t="s">
        <v>269</v>
      </c>
      <c r="E7" s="102" t="s">
        <v>212</v>
      </c>
      <c r="F7" s="101" t="s">
        <v>213</v>
      </c>
      <c r="G7" s="105"/>
      <c r="H7" s="106" t="s">
        <v>268</v>
      </c>
      <c r="I7" s="114">
        <v>0.5</v>
      </c>
    </row>
    <row r="8" spans="2:9" x14ac:dyDescent="0.35">
      <c r="B8" s="13" t="s">
        <v>221</v>
      </c>
      <c r="C8" s="24" t="s">
        <v>266</v>
      </c>
      <c r="D8" s="7">
        <f>+'Quote Suggested Dealer Price'!D8/(1-I$7)</f>
        <v>32.4</v>
      </c>
      <c r="E8" s="22">
        <f>+E43+E46</f>
        <v>0</v>
      </c>
      <c r="F8" s="25">
        <f t="shared" ref="F8:F71" si="0">+E8*D8</f>
        <v>0</v>
      </c>
      <c r="H8" t="s">
        <v>267</v>
      </c>
    </row>
    <row r="9" spans="2:9" ht="25" x14ac:dyDescent="0.35">
      <c r="B9" s="8" t="s">
        <v>77</v>
      </c>
      <c r="C9" s="9" t="s">
        <v>76</v>
      </c>
      <c r="D9" s="7">
        <f>+'Quote Suggested Dealer Price'!D9/(1-I$7)</f>
        <v>327.24</v>
      </c>
      <c r="E9" s="26">
        <f>IF(B3=3, (IF(B4=0, 1, 0)), 0)</f>
        <v>0</v>
      </c>
      <c r="F9" s="25">
        <f t="shared" si="0"/>
        <v>0</v>
      </c>
      <c r="H9" s="49" t="s">
        <v>256</v>
      </c>
    </row>
    <row r="10" spans="2:9" ht="25" x14ac:dyDescent="0.35">
      <c r="B10" s="8" t="s">
        <v>75</v>
      </c>
      <c r="C10" s="9" t="s">
        <v>76</v>
      </c>
      <c r="D10" s="7">
        <f>+'Quote Suggested Dealer Price'!D10/(1-I$7)</f>
        <v>344.25</v>
      </c>
      <c r="E10" s="26">
        <f>IF(B3=3, (IF(B4=1, 1, 0)), 0)</f>
        <v>0</v>
      </c>
      <c r="F10" s="25">
        <f t="shared" si="0"/>
        <v>0</v>
      </c>
    </row>
    <row r="11" spans="2:9" ht="25" x14ac:dyDescent="0.35">
      <c r="B11" s="5" t="s">
        <v>79</v>
      </c>
      <c r="C11" s="10" t="s">
        <v>80</v>
      </c>
      <c r="D11" s="7">
        <f>+'Quote Suggested Dealer Price'!D11/(1-I$7)</f>
        <v>405</v>
      </c>
      <c r="E11" s="26">
        <f>IF(B3=5, (IF(B5=0, 1, 0)), 0)</f>
        <v>0</v>
      </c>
      <c r="F11" s="25">
        <f t="shared" si="0"/>
        <v>0</v>
      </c>
    </row>
    <row r="12" spans="2:9" ht="37.5" x14ac:dyDescent="0.35">
      <c r="B12" s="5" t="s">
        <v>81</v>
      </c>
      <c r="C12" s="10" t="s">
        <v>82</v>
      </c>
      <c r="D12" s="7">
        <f>+'Quote Suggested Dealer Price'!D12/(1-I$7)</f>
        <v>445.5</v>
      </c>
      <c r="E12" s="26">
        <f>IF(B3=5, (IF(B5=1, 1, 0)), 0)</f>
        <v>0</v>
      </c>
      <c r="F12" s="25">
        <f t="shared" si="0"/>
        <v>0</v>
      </c>
    </row>
    <row r="13" spans="2:9" ht="37.5" x14ac:dyDescent="0.35">
      <c r="B13" s="20" t="s">
        <v>259</v>
      </c>
      <c r="C13" s="6" t="s">
        <v>260</v>
      </c>
      <c r="D13" s="7">
        <f>+'Quote Suggested Dealer Price'!D13/(1-I$7)</f>
        <v>405</v>
      </c>
      <c r="E13" s="26">
        <f>IF(B3=6, (IF(B5=1, 1, 0)), 0)</f>
        <v>0</v>
      </c>
      <c r="F13" s="25">
        <f t="shared" si="0"/>
        <v>0</v>
      </c>
    </row>
    <row r="14" spans="2:9" ht="37.5" x14ac:dyDescent="0.35">
      <c r="B14" s="5" t="s">
        <v>227</v>
      </c>
      <c r="C14" s="19" t="s">
        <v>228</v>
      </c>
      <c r="D14" s="7">
        <f>+'Quote Suggested Dealer Price'!D14/(1-I$7)</f>
        <v>22.96</v>
      </c>
      <c r="E14" s="26">
        <f>+SUM('Panel and system definition'!F18:H18)</f>
        <v>0</v>
      </c>
      <c r="F14" s="25">
        <f t="shared" si="0"/>
        <v>0</v>
      </c>
    </row>
    <row r="15" spans="2:9" x14ac:dyDescent="0.35">
      <c r="B15" s="8" t="s">
        <v>83</v>
      </c>
      <c r="C15" s="9" t="s">
        <v>84</v>
      </c>
      <c r="D15" s="7">
        <f>+'Quote Suggested Dealer Price'!D15/(1-I$7)</f>
        <v>93.42</v>
      </c>
      <c r="E15" s="22">
        <f>IF(AND(B1=1, B2=0), 1, 0)</f>
        <v>0</v>
      </c>
      <c r="F15" s="25">
        <f t="shared" si="0"/>
        <v>0</v>
      </c>
    </row>
    <row r="16" spans="2:9" x14ac:dyDescent="0.35">
      <c r="B16" s="8" t="s">
        <v>85</v>
      </c>
      <c r="C16" s="9" t="s">
        <v>86</v>
      </c>
      <c r="D16" s="7">
        <f>+'Quote Suggested Dealer Price'!D16/(1-I$7)</f>
        <v>93.42</v>
      </c>
      <c r="E16" s="22">
        <f>IF(AND(B1=1, B2=1), 1, 0)</f>
        <v>1</v>
      </c>
      <c r="F16" s="25">
        <f t="shared" si="0"/>
        <v>93.42</v>
      </c>
    </row>
    <row r="17" spans="2:8" x14ac:dyDescent="0.35">
      <c r="B17" s="8" t="s">
        <v>91</v>
      </c>
      <c r="C17" s="9" t="s">
        <v>92</v>
      </c>
      <c r="D17" s="7">
        <f>+'Quote Suggested Dealer Price'!D17/(1-I$7)</f>
        <v>121.04265387010689</v>
      </c>
      <c r="E17" s="22">
        <f>IF(AND(B1=2, B2=0), 1, 0)</f>
        <v>0</v>
      </c>
      <c r="F17" s="25">
        <f t="shared" si="0"/>
        <v>0</v>
      </c>
    </row>
    <row r="18" spans="2:8" x14ac:dyDescent="0.35">
      <c r="B18" s="8" t="s">
        <v>93</v>
      </c>
      <c r="C18" s="9" t="s">
        <v>94</v>
      </c>
      <c r="D18" s="7">
        <f>+'Quote Suggested Dealer Price'!D18/(1-I$7)</f>
        <v>121.04100000000001</v>
      </c>
      <c r="E18" s="22">
        <f>IF(AND(B1=2, B2=1), 1, 0)</f>
        <v>0</v>
      </c>
      <c r="F18" s="25">
        <f t="shared" si="0"/>
        <v>0</v>
      </c>
    </row>
    <row r="19" spans="2:8" x14ac:dyDescent="0.35">
      <c r="B19" s="8" t="s">
        <v>99</v>
      </c>
      <c r="C19" s="9" t="s">
        <v>100</v>
      </c>
      <c r="D19" s="7">
        <f>+'Quote Suggested Dealer Price'!D19/(1-I$7)</f>
        <v>154.143</v>
      </c>
      <c r="E19" s="22">
        <f>IF(AND(B1=3, B2=0), 1, 0)</f>
        <v>0</v>
      </c>
      <c r="F19" s="25">
        <f t="shared" si="0"/>
        <v>0</v>
      </c>
      <c r="G19" s="108"/>
      <c r="H19" s="1"/>
    </row>
    <row r="20" spans="2:8" x14ac:dyDescent="0.35">
      <c r="B20" s="8" t="s">
        <v>101</v>
      </c>
      <c r="C20" s="9" t="s">
        <v>102</v>
      </c>
      <c r="D20" s="7">
        <f>+'Quote Suggested Dealer Price'!D20/(1-I$7)</f>
        <v>154.14572373046883</v>
      </c>
      <c r="E20" s="22">
        <f>IF(AND(B1=3, B2=1), 1, 0)</f>
        <v>0</v>
      </c>
      <c r="F20" s="25">
        <f t="shared" si="0"/>
        <v>0</v>
      </c>
    </row>
    <row r="21" spans="2:8" x14ac:dyDescent="0.35">
      <c r="B21" s="8" t="s">
        <v>107</v>
      </c>
      <c r="C21" s="9" t="s">
        <v>108</v>
      </c>
      <c r="D21" s="7">
        <f>+'Quote Suggested Dealer Price'!D21/(1-I$7)</f>
        <v>396.60299999999995</v>
      </c>
      <c r="E21" s="22">
        <f>IF(AND(B1=4, B2=0), 1, 0)</f>
        <v>0</v>
      </c>
      <c r="F21" s="25">
        <f t="shared" si="0"/>
        <v>0</v>
      </c>
    </row>
    <row r="22" spans="2:8" x14ac:dyDescent="0.35">
      <c r="B22" s="8" t="s">
        <v>109</v>
      </c>
      <c r="C22" s="9" t="s">
        <v>110</v>
      </c>
      <c r="D22" s="7">
        <f>+'Quote Suggested Dealer Price'!D22/(1-I$7)</f>
        <v>396.60299999999995</v>
      </c>
      <c r="E22" s="22">
        <f>IF(AND(B1=4, B2=1), 1, 0)</f>
        <v>0</v>
      </c>
      <c r="F22" s="25">
        <f t="shared" si="0"/>
        <v>0</v>
      </c>
    </row>
    <row r="23" spans="2:8" ht="25" x14ac:dyDescent="0.35">
      <c r="B23" s="8" t="s">
        <v>132</v>
      </c>
      <c r="C23" s="9" t="s">
        <v>133</v>
      </c>
      <c r="D23" s="7">
        <f>+'Quote Suggested Dealer Price'!D23/(1-I$7)</f>
        <v>191.55440851881224</v>
      </c>
      <c r="E23" s="22">
        <f>+'Panel and system definition'!B18</f>
        <v>0</v>
      </c>
      <c r="F23" s="25">
        <f t="shared" si="0"/>
        <v>0</v>
      </c>
    </row>
    <row r="24" spans="2:8" ht="25" x14ac:dyDescent="0.35">
      <c r="B24" s="8" t="s">
        <v>135</v>
      </c>
      <c r="C24" s="9" t="s">
        <v>136</v>
      </c>
      <c r="D24" s="7">
        <f>+'Quote Suggested Dealer Price'!D24/(1-I$7)</f>
        <v>205.06500000000003</v>
      </c>
      <c r="E24" s="22">
        <f>+'Panel and system definition'!C18</f>
        <v>0</v>
      </c>
      <c r="F24" s="25">
        <f t="shared" si="0"/>
        <v>0</v>
      </c>
    </row>
    <row r="25" spans="2:8" ht="37.5" x14ac:dyDescent="0.35">
      <c r="B25" s="8" t="s">
        <v>138</v>
      </c>
      <c r="C25" s="9" t="s">
        <v>139</v>
      </c>
      <c r="D25" s="7">
        <f>+'Quote Suggested Dealer Price'!D25/(1-I$7)</f>
        <v>237.33872266626744</v>
      </c>
      <c r="E25" s="22">
        <f>+'Panel and system definition'!D18</f>
        <v>1</v>
      </c>
      <c r="F25" s="25">
        <f t="shared" si="0"/>
        <v>237.33872266626744</v>
      </c>
    </row>
    <row r="26" spans="2:8" ht="37.5" x14ac:dyDescent="0.35">
      <c r="B26" s="8" t="s">
        <v>32</v>
      </c>
      <c r="C26" s="9" t="s">
        <v>140</v>
      </c>
      <c r="D26" s="7">
        <f>+'Quote Suggested Dealer Price'!D26/(1-I$7)</f>
        <v>250.83000000000004</v>
      </c>
      <c r="E26" s="22">
        <f>+'Panel and system definition'!E18</f>
        <v>0</v>
      </c>
      <c r="F26" s="25">
        <f t="shared" si="0"/>
        <v>0</v>
      </c>
    </row>
    <row r="27" spans="2:8" ht="37.5" x14ac:dyDescent="0.35">
      <c r="B27" s="8" t="s">
        <v>141</v>
      </c>
      <c r="C27" s="9" t="s">
        <v>142</v>
      </c>
      <c r="D27" s="7">
        <f>+'Quote Suggested Dealer Price'!D27/(1-I$7)</f>
        <v>250.83000000000004</v>
      </c>
      <c r="E27" s="22">
        <f>+'Panel and system definition'!E18</f>
        <v>0</v>
      </c>
      <c r="F27" s="25">
        <f t="shared" si="0"/>
        <v>0</v>
      </c>
    </row>
    <row r="28" spans="2:8" ht="25" x14ac:dyDescent="0.35">
      <c r="B28" s="11" t="s">
        <v>143</v>
      </c>
      <c r="C28" s="9" t="s">
        <v>144</v>
      </c>
      <c r="D28" s="7">
        <f>+'Quote Suggested Dealer Price'!D28/(1-I$7)</f>
        <v>218.70000000000002</v>
      </c>
      <c r="E28" s="22">
        <f>+'Panel and system definition'!F18</f>
        <v>0</v>
      </c>
      <c r="F28" s="25">
        <f t="shared" si="0"/>
        <v>0</v>
      </c>
    </row>
    <row r="29" spans="2:8" ht="29" x14ac:dyDescent="0.35">
      <c r="B29" s="5" t="s">
        <v>145</v>
      </c>
      <c r="C29" s="12" t="s">
        <v>146</v>
      </c>
      <c r="D29" s="7">
        <f>+'Quote Suggested Dealer Price'!D29/(1-I$7)</f>
        <v>35.1</v>
      </c>
      <c r="E29" s="46"/>
      <c r="F29" s="25">
        <f t="shared" si="0"/>
        <v>0</v>
      </c>
    </row>
    <row r="30" spans="2:8" ht="25" x14ac:dyDescent="0.35">
      <c r="B30" s="11" t="s">
        <v>147</v>
      </c>
      <c r="C30" s="9" t="s">
        <v>148</v>
      </c>
      <c r="D30" s="7">
        <f>+'Quote Suggested Dealer Price'!D30/(1-I$7)</f>
        <v>256.5</v>
      </c>
      <c r="E30" s="22">
        <f>+'Panel and system definition'!G18</f>
        <v>0</v>
      </c>
      <c r="F30" s="25">
        <f t="shared" si="0"/>
        <v>0</v>
      </c>
    </row>
    <row r="31" spans="2:8" ht="37.5" x14ac:dyDescent="0.35">
      <c r="B31" s="11" t="s">
        <v>149</v>
      </c>
      <c r="C31" s="9" t="s">
        <v>150</v>
      </c>
      <c r="D31" s="7">
        <f>+'Quote Suggested Dealer Price'!D31/(1-I$7)</f>
        <v>310.5</v>
      </c>
      <c r="E31" s="22">
        <f>+'Panel and system definition'!H18</f>
        <v>0</v>
      </c>
      <c r="F31" s="25">
        <f t="shared" si="0"/>
        <v>0</v>
      </c>
    </row>
    <row r="32" spans="2:8" x14ac:dyDescent="0.35">
      <c r="B32" s="13" t="s">
        <v>36</v>
      </c>
      <c r="C32" s="14" t="s">
        <v>151</v>
      </c>
      <c r="D32" s="7">
        <f>+'Quote Suggested Dealer Price'!D32/(1-I$7)</f>
        <v>388.8</v>
      </c>
      <c r="E32" s="22">
        <f>+'Panel and system definition'!I18</f>
        <v>2</v>
      </c>
      <c r="F32" s="25">
        <f t="shared" si="0"/>
        <v>777.6</v>
      </c>
    </row>
    <row r="33" spans="2:6" x14ac:dyDescent="0.35">
      <c r="B33" s="13" t="s">
        <v>37</v>
      </c>
      <c r="C33" s="14" t="s">
        <v>152</v>
      </c>
      <c r="D33" s="7">
        <f>+'Quote Suggested Dealer Price'!D33/(1-I$7)</f>
        <v>388.8</v>
      </c>
      <c r="E33" s="22">
        <f>+'Panel and system definition'!J18</f>
        <v>0</v>
      </c>
      <c r="F33" s="25">
        <f t="shared" si="0"/>
        <v>0</v>
      </c>
    </row>
    <row r="34" spans="2:6" ht="25" x14ac:dyDescent="0.35">
      <c r="B34" s="8" t="s">
        <v>53</v>
      </c>
      <c r="C34" s="9" t="s">
        <v>157</v>
      </c>
      <c r="D34" s="7">
        <f>+'Quote Suggested Dealer Price'!D34/(1-I$7)</f>
        <v>56.468708166294824</v>
      </c>
      <c r="E34" s="22">
        <f>+'Panel and system definition'!B25</f>
        <v>0</v>
      </c>
      <c r="F34" s="25">
        <f t="shared" si="0"/>
        <v>0</v>
      </c>
    </row>
    <row r="35" spans="2:6" ht="25" x14ac:dyDescent="0.35">
      <c r="B35" s="8" t="s">
        <v>56</v>
      </c>
      <c r="C35" s="9" t="s">
        <v>158</v>
      </c>
      <c r="D35" s="7">
        <f>+'Quote Suggested Dealer Price'!D35/(1-I$7)</f>
        <v>119.67667416201105</v>
      </c>
      <c r="E35" s="34">
        <f>+'Panel and system definition'!B23</f>
        <v>0</v>
      </c>
      <c r="F35" s="25">
        <f t="shared" si="0"/>
        <v>0</v>
      </c>
    </row>
    <row r="36" spans="2:6" ht="25" x14ac:dyDescent="0.35">
      <c r="B36" s="8" t="s">
        <v>54</v>
      </c>
      <c r="C36" s="9" t="s">
        <v>159</v>
      </c>
      <c r="D36" s="7">
        <f>+'Quote Suggested Dealer Price'!D36/(1-I$7)</f>
        <v>60.921442633015026</v>
      </c>
      <c r="E36" s="46"/>
      <c r="F36" s="25">
        <f t="shared" si="0"/>
        <v>0</v>
      </c>
    </row>
    <row r="37" spans="2:6" ht="25" x14ac:dyDescent="0.35">
      <c r="B37" s="8" t="s">
        <v>55</v>
      </c>
      <c r="C37" s="9" t="s">
        <v>160</v>
      </c>
      <c r="D37" s="7">
        <f>+'Quote Suggested Dealer Price'!D37/(1-I$7)</f>
        <v>99.826121041809458</v>
      </c>
      <c r="E37" s="22">
        <f>+'Panel and system definition'!H25</f>
        <v>1</v>
      </c>
      <c r="F37" s="25">
        <f t="shared" si="0"/>
        <v>99.826121041809458</v>
      </c>
    </row>
    <row r="38" spans="2:6" x14ac:dyDescent="0.35">
      <c r="B38" s="16" t="s">
        <v>161</v>
      </c>
      <c r="C38" s="17" t="s">
        <v>162</v>
      </c>
      <c r="D38" s="7">
        <f>+'Quote Suggested Dealer Price'!D38/(1-I$7)</f>
        <v>148.5</v>
      </c>
      <c r="E38" s="22"/>
      <c r="F38" s="25">
        <f t="shared" si="0"/>
        <v>0</v>
      </c>
    </row>
    <row r="39" spans="2:6" ht="25" x14ac:dyDescent="0.35">
      <c r="B39" s="8" t="s">
        <v>163</v>
      </c>
      <c r="C39" s="9" t="s">
        <v>164</v>
      </c>
      <c r="D39" s="7">
        <f>+'Quote Suggested Dealer Price'!D39/(1-I$7)</f>
        <v>154.548</v>
      </c>
      <c r="E39" s="22">
        <f>+'Current calculation'!F17</f>
        <v>0</v>
      </c>
      <c r="F39" s="25">
        <f t="shared" si="0"/>
        <v>0</v>
      </c>
    </row>
    <row r="40" spans="2:6" x14ac:dyDescent="0.35">
      <c r="B40" s="18" t="s">
        <v>222</v>
      </c>
      <c r="C40" s="19" t="s">
        <v>165</v>
      </c>
      <c r="D40" s="7">
        <f>+'Quote Suggested Dealer Price'!D40/(1-I$7)</f>
        <v>256.5</v>
      </c>
      <c r="E40" s="26">
        <f>+'Panel and system definition'!B6</f>
        <v>0</v>
      </c>
      <c r="F40" s="25">
        <f t="shared" si="0"/>
        <v>0</v>
      </c>
    </row>
    <row r="41" spans="2:6" x14ac:dyDescent="0.35">
      <c r="B41" s="8" t="s">
        <v>229</v>
      </c>
      <c r="C41" s="9" t="s">
        <v>230</v>
      </c>
      <c r="D41" s="7">
        <f>+'Quote Suggested Dealer Price'!D41/(1-I$7)</f>
        <v>30</v>
      </c>
      <c r="E41" s="9">
        <f>IF((SUM('Panel and system definition'!G18:J18)+'Panel and system definition'!E18+'Panel and system definition'!C18)&gt;0, 1, 0)</f>
        <v>1</v>
      </c>
      <c r="F41" s="25">
        <f t="shared" si="0"/>
        <v>30</v>
      </c>
    </row>
    <row r="42" spans="2:6" x14ac:dyDescent="0.35">
      <c r="B42" s="8" t="s">
        <v>240</v>
      </c>
      <c r="C42" s="9" t="s">
        <v>241</v>
      </c>
      <c r="D42" s="7">
        <f>+'Quote Suggested Dealer Price'!D42/(1-I$7)</f>
        <v>47.25</v>
      </c>
      <c r="E42" s="22">
        <f>IF('Panel and system definition'!F40="Yes", 1, 0)</f>
        <v>1</v>
      </c>
      <c r="F42" s="25">
        <f t="shared" si="0"/>
        <v>47.25</v>
      </c>
    </row>
    <row r="43" spans="2:6" x14ac:dyDescent="0.35">
      <c r="B43" s="8" t="s">
        <v>14</v>
      </c>
      <c r="C43" s="9" t="s">
        <v>166</v>
      </c>
      <c r="D43" s="7">
        <f>+'Quote Suggested Dealer Price'!D43/(1-I$7)</f>
        <v>102.99879</v>
      </c>
      <c r="E43" s="22">
        <f>+'Panel and system definition'!N12</f>
        <v>0</v>
      </c>
      <c r="F43" s="25">
        <f t="shared" si="0"/>
        <v>0</v>
      </c>
    </row>
    <row r="44" spans="2:6" x14ac:dyDescent="0.35">
      <c r="B44" s="8" t="s">
        <v>0</v>
      </c>
      <c r="C44" s="9" t="s">
        <v>167</v>
      </c>
      <c r="D44" s="7">
        <f>+'Quote Suggested Dealer Price'!D44/(1-I$7)</f>
        <v>116.36109000000002</v>
      </c>
      <c r="E44" s="22">
        <f>+'Panel and system definition'!C6</f>
        <v>5</v>
      </c>
      <c r="F44" s="25">
        <f t="shared" si="0"/>
        <v>581.80545000000006</v>
      </c>
    </row>
    <row r="45" spans="2:6" x14ac:dyDescent="0.35">
      <c r="B45" s="8" t="s">
        <v>13</v>
      </c>
      <c r="C45" s="9" t="s">
        <v>168</v>
      </c>
      <c r="D45" s="7">
        <f>+'Quote Suggested Dealer Price'!D45/(1-I$7)</f>
        <v>89.991</v>
      </c>
      <c r="E45" s="22">
        <f>+'Panel and system definition'!K12</f>
        <v>0</v>
      </c>
      <c r="F45" s="25">
        <f t="shared" si="0"/>
        <v>0</v>
      </c>
    </row>
    <row r="46" spans="2:6" x14ac:dyDescent="0.35">
      <c r="B46" s="8" t="s">
        <v>169</v>
      </c>
      <c r="C46" s="9" t="s">
        <v>170</v>
      </c>
      <c r="D46" s="7">
        <f>+'Quote Suggested Dealer Price'!D46/(1-I$7)</f>
        <v>217.75094999999999</v>
      </c>
      <c r="E46" s="22">
        <f>+'Panel and system definition'!O12</f>
        <v>0</v>
      </c>
      <c r="F46" s="25">
        <f t="shared" si="0"/>
        <v>0</v>
      </c>
    </row>
    <row r="47" spans="2:6" x14ac:dyDescent="0.35">
      <c r="B47" s="8" t="s">
        <v>9</v>
      </c>
      <c r="C47" s="9" t="s">
        <v>171</v>
      </c>
      <c r="D47" s="7">
        <f>+'Quote Suggested Dealer Price'!D47/(1-I$7)</f>
        <v>150.44859000000002</v>
      </c>
      <c r="E47" s="22">
        <f>+'Panel and system definition'!G12</f>
        <v>0</v>
      </c>
      <c r="F47" s="25">
        <f t="shared" si="0"/>
        <v>0</v>
      </c>
    </row>
    <row r="48" spans="2:6" x14ac:dyDescent="0.35">
      <c r="B48" s="8" t="s">
        <v>12</v>
      </c>
      <c r="C48" s="9" t="s">
        <v>172</v>
      </c>
      <c r="D48" s="7">
        <f>+'Quote Suggested Dealer Price'!D48/(1-I$7)</f>
        <v>143.26527494329565</v>
      </c>
      <c r="E48" s="22">
        <f>+'Panel and system definition'!J12</f>
        <v>0</v>
      </c>
      <c r="F48" s="25">
        <f t="shared" si="0"/>
        <v>0</v>
      </c>
    </row>
    <row r="49" spans="2:6" x14ac:dyDescent="0.35">
      <c r="B49" s="8" t="s">
        <v>11</v>
      </c>
      <c r="C49" s="9" t="s">
        <v>173</v>
      </c>
      <c r="D49" s="7">
        <f>+'Quote Suggested Dealer Price'!D49/(1-I$7)</f>
        <v>130.43240999999998</v>
      </c>
      <c r="E49" s="22">
        <f>+'Panel and system definition'!I12</f>
        <v>0</v>
      </c>
      <c r="F49" s="25">
        <f t="shared" si="0"/>
        <v>0</v>
      </c>
    </row>
    <row r="50" spans="2:6" x14ac:dyDescent="0.35">
      <c r="B50" s="8" t="s">
        <v>174</v>
      </c>
      <c r="C50" s="9" t="s">
        <v>175</v>
      </c>
      <c r="D50" s="7">
        <f>+'Quote Suggested Dealer Price'!D50/(1-I$7)</f>
        <v>184.48155000000003</v>
      </c>
      <c r="E50" s="22">
        <f>+'Panel and system definition'!H22</f>
        <v>1</v>
      </c>
      <c r="F50" s="25">
        <f t="shared" si="0"/>
        <v>184.48155000000003</v>
      </c>
    </row>
    <row r="51" spans="2:6" x14ac:dyDescent="0.35">
      <c r="B51" s="8" t="s">
        <v>2</v>
      </c>
      <c r="C51" s="9" t="s">
        <v>176</v>
      </c>
      <c r="D51" s="7">
        <f>+'Quote Suggested Dealer Price'!D51/(1-I$7)</f>
        <v>89.991</v>
      </c>
      <c r="E51" s="22">
        <f>+'Panel and system definition'!E6</f>
        <v>0</v>
      </c>
      <c r="F51" s="25">
        <f t="shared" si="0"/>
        <v>0</v>
      </c>
    </row>
    <row r="52" spans="2:6" x14ac:dyDescent="0.35">
      <c r="B52" s="8" t="s">
        <v>10</v>
      </c>
      <c r="C52" s="9" t="s">
        <v>177</v>
      </c>
      <c r="D52" s="7">
        <f>+'Quote Suggested Dealer Price'!D52/(1-I$7)</f>
        <v>137.65896000000001</v>
      </c>
      <c r="E52" s="22">
        <f>+'Panel and system definition'!H12</f>
        <v>0</v>
      </c>
      <c r="F52" s="25">
        <f t="shared" si="0"/>
        <v>0</v>
      </c>
    </row>
    <row r="53" spans="2:6" x14ac:dyDescent="0.35">
      <c r="B53" s="8" t="s">
        <v>178</v>
      </c>
      <c r="C53" s="9" t="s">
        <v>179</v>
      </c>
      <c r="D53" s="7">
        <f>+'Quote Suggested Dealer Price'!D53/(1-I$7)</f>
        <v>68.147729999999996</v>
      </c>
      <c r="E53" s="26">
        <f>+'Panel and system definition'!L6</f>
        <v>0</v>
      </c>
      <c r="F53" s="25">
        <f t="shared" si="0"/>
        <v>0</v>
      </c>
    </row>
    <row r="54" spans="2:6" ht="25" x14ac:dyDescent="0.35">
      <c r="B54" s="20" t="s">
        <v>1</v>
      </c>
      <c r="C54" s="6" t="s">
        <v>180</v>
      </c>
      <c r="D54" s="7">
        <f>+'Quote Suggested Dealer Price'!D54/(1-I$7)</f>
        <v>210.6</v>
      </c>
      <c r="E54" s="22">
        <f>+'Panel and system definition'!D6</f>
        <v>0</v>
      </c>
      <c r="F54" s="25">
        <f t="shared" si="0"/>
        <v>0</v>
      </c>
    </row>
    <row r="55" spans="2:6" x14ac:dyDescent="0.35">
      <c r="B55" s="8" t="s">
        <v>8</v>
      </c>
      <c r="C55" s="9" t="s">
        <v>181</v>
      </c>
      <c r="D55" s="7">
        <f>+'Quote Suggested Dealer Price'!D55/(1-I$7)</f>
        <v>84.891509999999997</v>
      </c>
      <c r="E55" s="22">
        <f>+'Panel and system definition'!F12</f>
        <v>0</v>
      </c>
      <c r="F55" s="25">
        <f t="shared" si="0"/>
        <v>0</v>
      </c>
    </row>
    <row r="56" spans="2:6" x14ac:dyDescent="0.35">
      <c r="B56" s="8" t="s">
        <v>182</v>
      </c>
      <c r="C56" s="9" t="s">
        <v>183</v>
      </c>
      <c r="D56" s="7">
        <f>+'Quote Suggested Dealer Price'!D56/(1-I$7)</f>
        <v>68.611320000000006</v>
      </c>
      <c r="E56" s="26">
        <f>+'Panel and system definition'!O6</f>
        <v>0</v>
      </c>
      <c r="F56" s="25">
        <f t="shared" si="0"/>
        <v>0</v>
      </c>
    </row>
    <row r="57" spans="2:6" x14ac:dyDescent="0.35">
      <c r="B57" s="8" t="s">
        <v>184</v>
      </c>
      <c r="C57" s="9" t="s">
        <v>185</v>
      </c>
      <c r="D57" s="7">
        <f>+'Quote Suggested Dealer Price'!D57/(1-I$7)</f>
        <v>52.61126862509618</v>
      </c>
      <c r="E57" s="26">
        <f>+'Panel and system definition'!M6</f>
        <v>0</v>
      </c>
      <c r="F57" s="25">
        <f t="shared" si="0"/>
        <v>0</v>
      </c>
    </row>
    <row r="58" spans="2:6" ht="25" x14ac:dyDescent="0.35">
      <c r="B58" s="20" t="s">
        <v>65</v>
      </c>
      <c r="C58" s="6" t="s">
        <v>186</v>
      </c>
      <c r="D58" s="7">
        <f>+'Quote Suggested Dealer Price'!D58/(1-I$7)</f>
        <v>537.30000000000007</v>
      </c>
      <c r="E58" s="22">
        <f>+'Panel and system definition'!I6</f>
        <v>0</v>
      </c>
      <c r="F58" s="25">
        <f t="shared" si="0"/>
        <v>0</v>
      </c>
    </row>
    <row r="59" spans="2:6" x14ac:dyDescent="0.35">
      <c r="B59" s="8" t="s">
        <v>6</v>
      </c>
      <c r="C59" s="9" t="s">
        <v>187</v>
      </c>
      <c r="D59" s="7">
        <f>+'Quote Suggested Dealer Price'!D59/(1-I$7)</f>
        <v>51.840270000000004</v>
      </c>
      <c r="E59" s="22">
        <f>+'Panel and system definition'!B12</f>
        <v>9</v>
      </c>
      <c r="F59" s="25">
        <f t="shared" si="0"/>
        <v>466.56243000000006</v>
      </c>
    </row>
    <row r="60" spans="2:6" x14ac:dyDescent="0.35">
      <c r="B60" s="5" t="s">
        <v>188</v>
      </c>
      <c r="C60" s="9" t="s">
        <v>189</v>
      </c>
      <c r="D60" s="7">
        <f>+'Quote Suggested Dealer Price'!D60/(1-I$7)</f>
        <v>51.84</v>
      </c>
      <c r="E60" s="26">
        <f>+'Panel and system definition'!$C$12</f>
        <v>0</v>
      </c>
      <c r="F60" s="25">
        <f t="shared" si="0"/>
        <v>0</v>
      </c>
    </row>
    <row r="61" spans="2:6" x14ac:dyDescent="0.35">
      <c r="B61" s="8" t="s">
        <v>190</v>
      </c>
      <c r="C61" s="9" t="s">
        <v>191</v>
      </c>
      <c r="D61" s="7">
        <f>+'Quote Suggested Dealer Price'!D61/(1-I$7)</f>
        <v>46.140840000000004</v>
      </c>
      <c r="E61" s="26">
        <f>+'Panel and system definition'!N6</f>
        <v>0</v>
      </c>
      <c r="F61" s="25">
        <f t="shared" si="0"/>
        <v>0</v>
      </c>
    </row>
    <row r="62" spans="2:6" x14ac:dyDescent="0.35">
      <c r="B62" s="8" t="s">
        <v>4</v>
      </c>
      <c r="C62" s="9" t="s">
        <v>192</v>
      </c>
      <c r="D62" s="7">
        <f>+'Quote Suggested Dealer Price'!D62/(1-I$7)</f>
        <v>106.35300000000001</v>
      </c>
      <c r="E62" s="22">
        <f>+'Panel and system definition'!G6</f>
        <v>0</v>
      </c>
      <c r="F62" s="25">
        <f t="shared" si="0"/>
        <v>0</v>
      </c>
    </row>
    <row r="63" spans="2:6" x14ac:dyDescent="0.35">
      <c r="B63" s="8" t="s">
        <v>7</v>
      </c>
      <c r="C63" s="9" t="s">
        <v>193</v>
      </c>
      <c r="D63" s="7">
        <f>+'Quote Suggested Dealer Price'!D63/(1-I$7)</f>
        <v>54.812700000000007</v>
      </c>
      <c r="E63" s="22">
        <f>+'Panel and system definition'!D12</f>
        <v>0</v>
      </c>
      <c r="F63" s="25">
        <f t="shared" si="0"/>
        <v>0</v>
      </c>
    </row>
    <row r="64" spans="2:6" x14ac:dyDescent="0.35">
      <c r="B64" s="5" t="s">
        <v>194</v>
      </c>
      <c r="C64" s="9" t="s">
        <v>195</v>
      </c>
      <c r="D64" s="7">
        <f>+'Quote Suggested Dealer Price'!D64/(1-I$7)</f>
        <v>54.81</v>
      </c>
      <c r="E64" s="22">
        <f>+'Panel and system definition'!$E$12</f>
        <v>0</v>
      </c>
      <c r="F64" s="25">
        <f t="shared" si="0"/>
        <v>0</v>
      </c>
    </row>
    <row r="65" spans="2:6" ht="25" x14ac:dyDescent="0.35">
      <c r="B65" s="8" t="s">
        <v>3</v>
      </c>
      <c r="C65" s="9" t="s">
        <v>196</v>
      </c>
      <c r="D65" s="7">
        <f>+'Quote Suggested Dealer Price'!D65/(1-I$7)</f>
        <v>136.35</v>
      </c>
      <c r="E65" s="22">
        <f>+'Panel and system definition'!F6</f>
        <v>0</v>
      </c>
      <c r="F65" s="25">
        <f t="shared" si="0"/>
        <v>0</v>
      </c>
    </row>
    <row r="66" spans="2:6" x14ac:dyDescent="0.35">
      <c r="B66" s="8" t="s">
        <v>16</v>
      </c>
      <c r="C66" s="9" t="s">
        <v>197</v>
      </c>
      <c r="D66" s="7">
        <f>+'Quote Suggested Dealer Price'!D66/(1-I$7)</f>
        <v>89.527409999999989</v>
      </c>
      <c r="E66" s="22">
        <f>+'Panel and system definition'!L12</f>
        <v>0</v>
      </c>
      <c r="F66" s="25">
        <f t="shared" si="0"/>
        <v>0</v>
      </c>
    </row>
    <row r="67" spans="2:6" x14ac:dyDescent="0.35">
      <c r="B67" s="8" t="s">
        <v>5</v>
      </c>
      <c r="C67" s="9" t="s">
        <v>198</v>
      </c>
      <c r="D67" s="7">
        <f>+'Quote Suggested Dealer Price'!D67/(1-I$7)</f>
        <v>327.24</v>
      </c>
      <c r="E67" s="22">
        <f>+'Panel and system definition'!H6</f>
        <v>0</v>
      </c>
      <c r="F67" s="25">
        <f t="shared" si="0"/>
        <v>0</v>
      </c>
    </row>
    <row r="68" spans="2:6" x14ac:dyDescent="0.35">
      <c r="B68" s="5" t="s">
        <v>199</v>
      </c>
      <c r="C68" s="12" t="s">
        <v>200</v>
      </c>
      <c r="D68" s="7">
        <f>+'Quote Suggested Dealer Price'!D68/(1-I$7)</f>
        <v>78.498000000000005</v>
      </c>
      <c r="E68" s="46"/>
      <c r="F68" s="25">
        <f t="shared" si="0"/>
        <v>0</v>
      </c>
    </row>
    <row r="69" spans="2:6" x14ac:dyDescent="0.35">
      <c r="B69" s="8" t="s">
        <v>203</v>
      </c>
      <c r="C69" s="9" t="s">
        <v>204</v>
      </c>
      <c r="D69" s="7">
        <f>+'Quote Suggested Dealer Price'!D69/(1-I$7)</f>
        <v>413.1</v>
      </c>
      <c r="E69" s="22">
        <f>IF(B3=4, (IF(B4=0, 1, 0)), 0)</f>
        <v>0</v>
      </c>
      <c r="F69" s="25">
        <f>+E69*D69</f>
        <v>0</v>
      </c>
    </row>
    <row r="70" spans="2:6" ht="25" x14ac:dyDescent="0.35">
      <c r="B70" s="8" t="s">
        <v>201</v>
      </c>
      <c r="C70" s="9" t="s">
        <v>202</v>
      </c>
      <c r="D70" s="7">
        <f>+'Quote Suggested Dealer Price'!D70/(1-I$7)</f>
        <v>433.1</v>
      </c>
      <c r="E70" s="22">
        <f>IF(B3=4, (IF(B4=1, 1, 0)), 0)</f>
        <v>0</v>
      </c>
      <c r="F70" s="25">
        <f t="shared" si="0"/>
        <v>0</v>
      </c>
    </row>
    <row r="71" spans="2:6" x14ac:dyDescent="0.35">
      <c r="B71" s="8" t="s">
        <v>205</v>
      </c>
      <c r="C71" s="9" t="s">
        <v>206</v>
      </c>
      <c r="D71" s="7">
        <f>+'Quote Suggested Dealer Price'!D71/(1-I$7)</f>
        <v>190.9</v>
      </c>
      <c r="E71" s="22">
        <f>IF(B3=2, (IF(B4=0, 1, 0)), 0)</f>
        <v>0</v>
      </c>
      <c r="F71" s="25">
        <f t="shared" si="0"/>
        <v>0</v>
      </c>
    </row>
    <row r="72" spans="2:6" ht="25" x14ac:dyDescent="0.35">
      <c r="B72" s="8" t="s">
        <v>207</v>
      </c>
      <c r="C72" s="9" t="s">
        <v>208</v>
      </c>
      <c r="D72" s="7">
        <f>+'Quote Suggested Dealer Price'!D72/(1-I$7)</f>
        <v>209.25</v>
      </c>
      <c r="E72" s="22">
        <f>IF(B3=2, (IF(B4=1, 1, 0)), 0)</f>
        <v>0</v>
      </c>
      <c r="F72" s="25">
        <f>+E72*D72</f>
        <v>0</v>
      </c>
    </row>
    <row r="73" spans="2:6" x14ac:dyDescent="0.35">
      <c r="F73" s="21"/>
    </row>
    <row r="74" spans="2:6" x14ac:dyDescent="0.35">
      <c r="E74" s="103" t="s">
        <v>63</v>
      </c>
      <c r="F74" s="104">
        <f>SUBTOTAL(9,F8:F72)</f>
        <v>2518.2842737080773</v>
      </c>
    </row>
  </sheetData>
  <sheetProtection sheet="1" objects="1" scenarios="1" autoFilter="0"/>
  <autoFilter ref="B7:F72"/>
  <dataValidations count="1">
    <dataValidation type="decimal" allowBlank="1" showInputMessage="1" showErrorMessage="1" sqref="I7">
      <formula1>-0.2</formula1>
      <formula2>0.999</formula2>
    </dataValidation>
  </dataValidation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and system definition</vt:lpstr>
      <vt:lpstr>Current calculation</vt:lpstr>
      <vt:lpstr>Dealer Price List</vt:lpstr>
      <vt:lpstr>Dropdowns</vt:lpstr>
      <vt:lpstr>Quote Suggested Dealer Price</vt:lpstr>
      <vt:lpstr>End user</vt:lpstr>
    </vt:vector>
  </TitlesOfParts>
  <Company>Tyco Safety Products Canada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Rivera</dc:creator>
  <cp:lastModifiedBy>Kirk Boohre</cp:lastModifiedBy>
  <cp:lastPrinted>2016-04-04T12:37:47Z</cp:lastPrinted>
  <dcterms:created xsi:type="dcterms:W3CDTF">2016-02-02T02:39:04Z</dcterms:created>
  <dcterms:modified xsi:type="dcterms:W3CDTF">2016-04-28T02:41:43Z</dcterms:modified>
</cp:coreProperties>
</file>